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patel001\Downloads\"/>
    </mc:Choice>
  </mc:AlternateContent>
  <xr:revisionPtr revIDLastSave="0" documentId="8_{ADDDDAB3-2344-4F75-9968-AA1FCA5FD9E4}" xr6:coauthVersionLast="47" xr6:coauthVersionMax="47" xr10:uidLastSave="{00000000-0000-0000-0000-000000000000}"/>
  <workbookProtection workbookAlgorithmName="SHA-512" workbookHashValue="9ARh7CBVxwj5UhvS2LIzndWrpvJfgl0WyRm/ZKj6AieRzNHs+Wf/cknqflc6ahFvAtJO8w5o/jqB5BMTZ2ClIA==" workbookSaltValue="1qXC1Z53ut9/ZHpCcIlWpQ==" workbookSpinCount="100000" lockStructure="1"/>
  <bookViews>
    <workbookView xWindow="3276" yWindow="3276" windowWidth="13176" windowHeight="9960" tabRatio="817" xr2:uid="{00000000-000D-0000-FFFF-FFFF00000000}"/>
  </bookViews>
  <sheets>
    <sheet name="Sponsor Cost" sheetId="1" r:id="rId1"/>
    <sheet name="Cost Share" sheetId="2" r:id="rId2"/>
    <sheet name="Personnel" sheetId="3" r:id="rId3"/>
    <sheet name="IBS Calculator" sheetId="4" state="hidden" r:id="rId4"/>
    <sheet name="Labor Detail" sheetId="5" r:id="rId5"/>
    <sheet name="FTE Table" sheetId="6" state="hidden" r:id="rId6"/>
    <sheet name="Equipment" sheetId="7" r:id="rId7"/>
    <sheet name="Travel" sheetId="8" r:id="rId8"/>
    <sheet name="Honorarium" sheetId="9" r:id="rId9"/>
    <sheet name="Materials" sheetId="10" r:id="rId10"/>
    <sheet name="Services_Consulting" sheetId="11" r:id="rId11"/>
    <sheet name="Participant Costs" sheetId="12" r:id="rId12"/>
    <sheet name="Tuition" sheetId="13" r:id="rId13"/>
    <sheet name="Other DC" sheetId="14" r:id="rId14"/>
    <sheet name="Subcontracts" sheetId="15" r:id="rId15"/>
    <sheet name="Budget Allocation" sheetId="16" state="hidden" r:id="rId16"/>
    <sheet name="Project Plan" sheetId="17" state="hidden" r:id="rId17"/>
    <sheet name="Rate Table" sheetId="18" r:id="rId18"/>
    <sheet name="Modular Budget" sheetId="19" state="hidden" r:id="rId19"/>
    <sheet name="RWJF" sheetId="20" state="hidden" r:id="rId20"/>
    <sheet name="SF 424" sheetId="21" state="hidden" r:id="rId21"/>
    <sheet name="Award Setup" sheetId="22" state="hidden" r:id="rId22"/>
    <sheet name="Notes" sheetId="23" state="hidden" r:id="rId23"/>
  </sheets>
  <definedNames>
    <definedName name="Non_Student">'Rate Table'!$A$3:$A$103</definedName>
    <definedName name="Non_Student_Labor">'Rate Table'!$A$3:$B$103</definedName>
    <definedName name="Post_Doc">'Rate Table'!$A$107:$A$151</definedName>
    <definedName name="Post_Doc_Labor">'Rate Table'!$A$107:$B$151</definedName>
    <definedName name="Salary_Cap" comment="SAalary cap limitation defined by sponsor and manual entered by the person preparing the proposal budget">Personnel!$E$2</definedName>
    <definedName name="Student">'Rate Table'!#REF!</definedName>
    <definedName name="Student_Labor">'Rate Table'!#REF!</definedName>
    <definedName name="Students" comment="RA and TA students">'Rate Table'!#REF!</definedName>
    <definedName name="Sub1_DC">Subcontracts!$D$5:$H$5</definedName>
    <definedName name="Sub1_TC">Subcontracts!$D$5:$H$6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1" l="1"/>
  <c r="C64" i="22"/>
  <c r="D63" i="22"/>
  <c r="C63" i="22"/>
  <c r="A61" i="22"/>
  <c r="A60" i="22"/>
  <c r="G59" i="22"/>
  <c r="F59" i="22"/>
  <c r="F60" i="22"/>
  <c r="A46" i="22"/>
  <c r="B7" i="22"/>
  <c r="E6" i="22"/>
  <c r="C6" i="22"/>
  <c r="B10" i="22"/>
  <c r="C10" i="22"/>
  <c r="B5" i="22"/>
  <c r="B4" i="22"/>
  <c r="B3" i="22"/>
  <c r="B2" i="22"/>
  <c r="D94" i="21"/>
  <c r="D93" i="21"/>
  <c r="D91" i="21"/>
  <c r="D90" i="21"/>
  <c r="D89" i="21"/>
  <c r="B64" i="21"/>
  <c r="Z45" i="21"/>
  <c r="T45" i="21"/>
  <c r="T42" i="21"/>
  <c r="N42" i="21"/>
  <c r="AF31" i="21"/>
  <c r="A30" i="21"/>
  <c r="A29" i="21"/>
  <c r="A28" i="21"/>
  <c r="A27" i="21"/>
  <c r="A26" i="21"/>
  <c r="AC8" i="21"/>
  <c r="W8" i="21"/>
  <c r="Q8" i="21"/>
  <c r="K8" i="21"/>
  <c r="E8" i="21"/>
  <c r="D8" i="21"/>
  <c r="B8" i="21"/>
  <c r="A8" i="21"/>
  <c r="AC7" i="21"/>
  <c r="W7" i="21"/>
  <c r="Q7" i="21"/>
  <c r="K7" i="21"/>
  <c r="E7" i="21"/>
  <c r="D7" i="21"/>
  <c r="B7" i="21"/>
  <c r="A7" i="21"/>
  <c r="AC6" i="21"/>
  <c r="W6" i="21"/>
  <c r="Q6" i="21"/>
  <c r="K6" i="21"/>
  <c r="E6" i="21"/>
  <c r="D6" i="21"/>
  <c r="B6" i="21"/>
  <c r="A6" i="21"/>
  <c r="AC5" i="21"/>
  <c r="W5" i="21"/>
  <c r="Q5" i="21"/>
  <c r="K5" i="21"/>
  <c r="E5" i="21"/>
  <c r="D5" i="21"/>
  <c r="B5" i="21"/>
  <c r="A5" i="21"/>
  <c r="C28" i="20"/>
  <c r="B28" i="20"/>
  <c r="C27" i="20"/>
  <c r="E26" i="20"/>
  <c r="D26" i="20"/>
  <c r="C26" i="20"/>
  <c r="B26" i="20"/>
  <c r="C25" i="20"/>
  <c r="B25" i="20"/>
  <c r="B27" i="20"/>
  <c r="C24" i="20"/>
  <c r="B24" i="20"/>
  <c r="D23" i="20"/>
  <c r="E23" i="20"/>
  <c r="D22" i="20"/>
  <c r="E22" i="20"/>
  <c r="D2" i="20"/>
  <c r="B2" i="20"/>
  <c r="B1" i="20"/>
  <c r="B28" i="19"/>
  <c r="F6" i="19"/>
  <c r="F24" i="19"/>
  <c r="E15" i="18"/>
  <c r="AE49" i="17"/>
  <c r="B48" i="17"/>
  <c r="AF28" i="17"/>
  <c r="AE28" i="17"/>
  <c r="AD28" i="17"/>
  <c r="AC28" i="17"/>
  <c r="O28" i="17"/>
  <c r="B28" i="17"/>
  <c r="AB3" i="17"/>
  <c r="AA3" i="17"/>
  <c r="Z3" i="17"/>
  <c r="Y3" i="17"/>
  <c r="X3" i="17"/>
  <c r="C7" i="16"/>
  <c r="B6" i="16"/>
  <c r="I5" i="16"/>
  <c r="I37" i="15"/>
  <c r="H37" i="15"/>
  <c r="G37" i="15"/>
  <c r="E6" i="19"/>
  <c r="F37" i="15"/>
  <c r="D6" i="19"/>
  <c r="E37" i="15"/>
  <c r="C6" i="19"/>
  <c r="D37" i="15"/>
  <c r="B6" i="19"/>
  <c r="H36" i="15"/>
  <c r="G36" i="15"/>
  <c r="F36" i="15"/>
  <c r="E36" i="15"/>
  <c r="D36" i="15"/>
  <c r="I36" i="15"/>
  <c r="H34" i="15"/>
  <c r="G34" i="15"/>
  <c r="F34" i="15"/>
  <c r="T54" i="21"/>
  <c r="E34" i="15"/>
  <c r="N54" i="21"/>
  <c r="D34" i="15"/>
  <c r="I32" i="15"/>
  <c r="M31" i="15"/>
  <c r="M32" i="15"/>
  <c r="L31" i="15"/>
  <c r="L32" i="15"/>
  <c r="I31" i="15"/>
  <c r="L30" i="15"/>
  <c r="I30" i="15"/>
  <c r="L29" i="15"/>
  <c r="I29" i="15"/>
  <c r="I28" i="15"/>
  <c r="L27" i="15"/>
  <c r="L28" i="15"/>
  <c r="I27" i="15"/>
  <c r="I26" i="15"/>
  <c r="L25" i="15"/>
  <c r="L26" i="15"/>
  <c r="I25" i="15"/>
  <c r="L24" i="15"/>
  <c r="I24" i="15"/>
  <c r="M23" i="15"/>
  <c r="N23" i="15"/>
  <c r="N24" i="15"/>
  <c r="L23" i="15"/>
  <c r="I23" i="15"/>
  <c r="I22" i="15"/>
  <c r="L21" i="15"/>
  <c r="I21" i="15"/>
  <c r="I20" i="15"/>
  <c r="L19" i="15"/>
  <c r="M19" i="15"/>
  <c r="I19" i="15"/>
  <c r="I18" i="15"/>
  <c r="L17" i="15"/>
  <c r="I17" i="15"/>
  <c r="I16" i="15"/>
  <c r="M15" i="15"/>
  <c r="M16" i="15"/>
  <c r="L15" i="15"/>
  <c r="L16" i="15"/>
  <c r="I15" i="15"/>
  <c r="I14" i="15"/>
  <c r="L13" i="15"/>
  <c r="L14" i="15"/>
  <c r="I13" i="15"/>
  <c r="I12" i="15"/>
  <c r="L11" i="15"/>
  <c r="L12" i="15"/>
  <c r="I11" i="15"/>
  <c r="I10" i="15"/>
  <c r="L9" i="15"/>
  <c r="L10" i="15"/>
  <c r="I9" i="15"/>
  <c r="L8" i="15"/>
  <c r="I8" i="15"/>
  <c r="M7" i="15"/>
  <c r="N7" i="15"/>
  <c r="N8" i="15"/>
  <c r="L7" i="15"/>
  <c r="I7" i="15"/>
  <c r="I6" i="15"/>
  <c r="L5" i="15"/>
  <c r="D39" i="15"/>
  <c r="B41" i="1"/>
  <c r="I5" i="15"/>
  <c r="H4" i="15"/>
  <c r="G4" i="15"/>
  <c r="F4" i="15"/>
  <c r="E4" i="15"/>
  <c r="D4" i="15"/>
  <c r="H39" i="14"/>
  <c r="G39" i="14"/>
  <c r="F39" i="14"/>
  <c r="E39" i="14"/>
  <c r="D39" i="14"/>
  <c r="H38" i="14"/>
  <c r="G38" i="14"/>
  <c r="F38" i="14"/>
  <c r="E38" i="14"/>
  <c r="D38" i="14"/>
  <c r="H37" i="14"/>
  <c r="G37" i="14"/>
  <c r="F37" i="14"/>
  <c r="E37" i="14"/>
  <c r="D37" i="14"/>
  <c r="H36" i="14"/>
  <c r="G36" i="14"/>
  <c r="F36" i="14"/>
  <c r="E36" i="14"/>
  <c r="D36" i="14"/>
  <c r="H35" i="14"/>
  <c r="G35" i="14"/>
  <c r="F35" i="14"/>
  <c r="E35" i="14"/>
  <c r="D35" i="14"/>
  <c r="H34" i="14"/>
  <c r="G34" i="14"/>
  <c r="F34" i="14"/>
  <c r="E34" i="14"/>
  <c r="D34" i="14"/>
  <c r="H33" i="14"/>
  <c r="G33" i="14"/>
  <c r="F33" i="14"/>
  <c r="E33" i="14"/>
  <c r="D33" i="14"/>
  <c r="H32" i="14"/>
  <c r="G32" i="14"/>
  <c r="F32" i="14"/>
  <c r="E32" i="14"/>
  <c r="D32" i="14"/>
  <c r="H31" i="14"/>
  <c r="G31" i="14"/>
  <c r="F31" i="14"/>
  <c r="E31" i="14"/>
  <c r="D31" i="14"/>
  <c r="H30" i="14"/>
  <c r="G30" i="14"/>
  <c r="F30" i="14"/>
  <c r="E30" i="14"/>
  <c r="D30" i="14"/>
  <c r="H29" i="14"/>
  <c r="G29" i="14"/>
  <c r="F29" i="14"/>
  <c r="E29" i="14"/>
  <c r="E40" i="14"/>
  <c r="D29" i="14"/>
  <c r="D40" i="14"/>
  <c r="H25" i="14"/>
  <c r="G25" i="14"/>
  <c r="F25" i="14"/>
  <c r="E25" i="14"/>
  <c r="D25" i="14"/>
  <c r="H24" i="14"/>
  <c r="G24" i="14"/>
  <c r="F24" i="14"/>
  <c r="E24" i="14"/>
  <c r="D24" i="14"/>
  <c r="H23" i="14"/>
  <c r="G23" i="14"/>
  <c r="F23" i="14"/>
  <c r="E23" i="14"/>
  <c r="D23" i="14"/>
  <c r="H22" i="14"/>
  <c r="G22" i="14"/>
  <c r="F22" i="14"/>
  <c r="E22" i="14"/>
  <c r="D22" i="14"/>
  <c r="H21" i="14"/>
  <c r="G21" i="14"/>
  <c r="F21" i="14"/>
  <c r="E21" i="14"/>
  <c r="D21" i="14"/>
  <c r="H20" i="14"/>
  <c r="G20" i="14"/>
  <c r="F20" i="14"/>
  <c r="E20" i="14"/>
  <c r="D20" i="14"/>
  <c r="H19" i="14"/>
  <c r="G19" i="14"/>
  <c r="F19" i="14"/>
  <c r="E19" i="14"/>
  <c r="D19" i="14"/>
  <c r="H18" i="14"/>
  <c r="G18" i="14"/>
  <c r="F18" i="14"/>
  <c r="E18" i="14"/>
  <c r="D18" i="14"/>
  <c r="H17" i="14"/>
  <c r="G17" i="14"/>
  <c r="F17" i="14"/>
  <c r="E17" i="14"/>
  <c r="D17" i="14"/>
  <c r="H16" i="14"/>
  <c r="G16" i="14"/>
  <c r="F16" i="14"/>
  <c r="E16" i="14"/>
  <c r="D16" i="14"/>
  <c r="H15" i="14"/>
  <c r="H26" i="14"/>
  <c r="G15" i="14"/>
  <c r="F15" i="14"/>
  <c r="F26" i="14"/>
  <c r="E15" i="14"/>
  <c r="E26" i="14"/>
  <c r="D15" i="14"/>
  <c r="D26" i="14"/>
  <c r="I13" i="14"/>
  <c r="I12" i="14"/>
  <c r="I11" i="14"/>
  <c r="I10" i="14"/>
  <c r="I9" i="14"/>
  <c r="I8" i="14"/>
  <c r="I7" i="14"/>
  <c r="I6" i="14"/>
  <c r="I5" i="14"/>
  <c r="I4" i="14"/>
  <c r="I3" i="14"/>
  <c r="H39" i="13"/>
  <c r="G39" i="13"/>
  <c r="F39" i="13"/>
  <c r="E39" i="13"/>
  <c r="D39" i="13"/>
  <c r="H38" i="13"/>
  <c r="G38" i="13"/>
  <c r="F38" i="13"/>
  <c r="E38" i="13"/>
  <c r="D38" i="13"/>
  <c r="H37" i="13"/>
  <c r="G37" i="13"/>
  <c r="F37" i="13"/>
  <c r="E37" i="13"/>
  <c r="D37" i="13"/>
  <c r="H36" i="13"/>
  <c r="G36" i="13"/>
  <c r="F36" i="13"/>
  <c r="E36" i="13"/>
  <c r="D36" i="13"/>
  <c r="H35" i="13"/>
  <c r="G35" i="13"/>
  <c r="F35" i="13"/>
  <c r="E35" i="13"/>
  <c r="D35" i="13"/>
  <c r="H34" i="13"/>
  <c r="G34" i="13"/>
  <c r="F34" i="13"/>
  <c r="E34" i="13"/>
  <c r="D34" i="13"/>
  <c r="H33" i="13"/>
  <c r="G33" i="13"/>
  <c r="F33" i="13"/>
  <c r="E33" i="13"/>
  <c r="D33" i="13"/>
  <c r="H32" i="13"/>
  <c r="G32" i="13"/>
  <c r="F32" i="13"/>
  <c r="E32" i="13"/>
  <c r="D32" i="13"/>
  <c r="H31" i="13"/>
  <c r="G31" i="13"/>
  <c r="F31" i="13"/>
  <c r="E31" i="13"/>
  <c r="D31" i="13"/>
  <c r="H30" i="13"/>
  <c r="G30" i="13"/>
  <c r="F30" i="13"/>
  <c r="E30" i="13"/>
  <c r="D30" i="13"/>
  <c r="H29" i="13"/>
  <c r="G29" i="13"/>
  <c r="F29" i="13"/>
  <c r="E29" i="13"/>
  <c r="D29" i="13"/>
  <c r="H25" i="13"/>
  <c r="G25" i="13"/>
  <c r="F25" i="13"/>
  <c r="E25" i="13"/>
  <c r="D25" i="13"/>
  <c r="H24" i="13"/>
  <c r="G24" i="13"/>
  <c r="F24" i="13"/>
  <c r="E24" i="13"/>
  <c r="D24" i="13"/>
  <c r="H23" i="13"/>
  <c r="G23" i="13"/>
  <c r="F23" i="13"/>
  <c r="E23" i="13"/>
  <c r="D23" i="13"/>
  <c r="H22" i="13"/>
  <c r="G22" i="13"/>
  <c r="F22" i="13"/>
  <c r="E22" i="13"/>
  <c r="D22" i="13"/>
  <c r="H21" i="13"/>
  <c r="G21" i="13"/>
  <c r="F21" i="13"/>
  <c r="E21" i="13"/>
  <c r="D21" i="13"/>
  <c r="H20" i="13"/>
  <c r="G20" i="13"/>
  <c r="F20" i="13"/>
  <c r="E20" i="13"/>
  <c r="D20" i="13"/>
  <c r="H19" i="13"/>
  <c r="G19" i="13"/>
  <c r="F19" i="13"/>
  <c r="E19" i="13"/>
  <c r="D19" i="13"/>
  <c r="H18" i="13"/>
  <c r="G18" i="13"/>
  <c r="F18" i="13"/>
  <c r="E18" i="13"/>
  <c r="D18" i="13"/>
  <c r="H17" i="13"/>
  <c r="G17" i="13"/>
  <c r="F17" i="13"/>
  <c r="E17" i="13"/>
  <c r="D17" i="13"/>
  <c r="H16" i="13"/>
  <c r="G16" i="13"/>
  <c r="F16" i="13"/>
  <c r="E16" i="13"/>
  <c r="D16" i="13"/>
  <c r="H15" i="13"/>
  <c r="G15" i="13"/>
  <c r="F15" i="13"/>
  <c r="E15" i="13"/>
  <c r="D15" i="13"/>
  <c r="I13" i="13"/>
  <c r="I12" i="13"/>
  <c r="I11" i="13"/>
  <c r="I10" i="13"/>
  <c r="I9" i="13"/>
  <c r="I8" i="13"/>
  <c r="I7" i="13"/>
  <c r="I6" i="13"/>
  <c r="I5" i="13"/>
  <c r="H39" i="12"/>
  <c r="G39" i="12"/>
  <c r="F39" i="12"/>
  <c r="E39" i="12"/>
  <c r="D39" i="12"/>
  <c r="H38" i="12"/>
  <c r="G38" i="12"/>
  <c r="F38" i="12"/>
  <c r="E38" i="12"/>
  <c r="D38" i="12"/>
  <c r="H37" i="12"/>
  <c r="G37" i="12"/>
  <c r="F37" i="12"/>
  <c r="E37" i="12"/>
  <c r="D37" i="12"/>
  <c r="H36" i="12"/>
  <c r="G36" i="12"/>
  <c r="F36" i="12"/>
  <c r="E36" i="12"/>
  <c r="D36" i="12"/>
  <c r="H35" i="12"/>
  <c r="G35" i="12"/>
  <c r="F35" i="12"/>
  <c r="E35" i="12"/>
  <c r="D35" i="12"/>
  <c r="H34" i="12"/>
  <c r="G34" i="12"/>
  <c r="F34" i="12"/>
  <c r="E34" i="12"/>
  <c r="D34" i="12"/>
  <c r="H33" i="12"/>
  <c r="G33" i="12"/>
  <c r="F33" i="12"/>
  <c r="E33" i="12"/>
  <c r="D33" i="12"/>
  <c r="H32" i="12"/>
  <c r="G32" i="12"/>
  <c r="F32" i="12"/>
  <c r="E32" i="12"/>
  <c r="D32" i="12"/>
  <c r="H31" i="12"/>
  <c r="G31" i="12"/>
  <c r="F31" i="12"/>
  <c r="E31" i="12"/>
  <c r="D31" i="12"/>
  <c r="H30" i="12"/>
  <c r="G30" i="12"/>
  <c r="F30" i="12"/>
  <c r="E30" i="12"/>
  <c r="D30" i="12"/>
  <c r="H29" i="12"/>
  <c r="H40" i="12"/>
  <c r="F36" i="2"/>
  <c r="G29" i="12"/>
  <c r="G40" i="12"/>
  <c r="F29" i="12"/>
  <c r="F40" i="12"/>
  <c r="D36" i="2"/>
  <c r="N36" i="2"/>
  <c r="E29" i="12"/>
  <c r="E40" i="12"/>
  <c r="D29" i="12"/>
  <c r="D40" i="12"/>
  <c r="B36" i="2"/>
  <c r="H25" i="12"/>
  <c r="G25" i="12"/>
  <c r="F25" i="12"/>
  <c r="E25" i="12"/>
  <c r="D25" i="12"/>
  <c r="H24" i="12"/>
  <c r="G24" i="12"/>
  <c r="F24" i="12"/>
  <c r="E24" i="12"/>
  <c r="D24" i="12"/>
  <c r="H23" i="12"/>
  <c r="G23" i="12"/>
  <c r="F23" i="12"/>
  <c r="E23" i="12"/>
  <c r="D23" i="12"/>
  <c r="H22" i="12"/>
  <c r="G22" i="12"/>
  <c r="F22" i="12"/>
  <c r="E22" i="12"/>
  <c r="D22" i="12"/>
  <c r="H21" i="12"/>
  <c r="G21" i="12"/>
  <c r="F21" i="12"/>
  <c r="E21" i="12"/>
  <c r="D21" i="12"/>
  <c r="H20" i="12"/>
  <c r="G20" i="12"/>
  <c r="F20" i="12"/>
  <c r="E20" i="12"/>
  <c r="D20" i="12"/>
  <c r="H19" i="12"/>
  <c r="AF45" i="21"/>
  <c r="G19" i="12"/>
  <c r="F19" i="12"/>
  <c r="E19" i="12"/>
  <c r="N45" i="21"/>
  <c r="D19" i="12"/>
  <c r="H45" i="21"/>
  <c r="H18" i="12"/>
  <c r="AF44" i="21"/>
  <c r="G18" i="12"/>
  <c r="Z44" i="21"/>
  <c r="F18" i="12"/>
  <c r="T44" i="21"/>
  <c r="E18" i="12"/>
  <c r="N44" i="21"/>
  <c r="D18" i="12"/>
  <c r="H44" i="21"/>
  <c r="H17" i="12"/>
  <c r="AF43" i="21"/>
  <c r="G17" i="12"/>
  <c r="Z43" i="21"/>
  <c r="F17" i="12"/>
  <c r="T43" i="21"/>
  <c r="E17" i="12"/>
  <c r="N43" i="21"/>
  <c r="D17" i="12"/>
  <c r="H43" i="21"/>
  <c r="D83" i="21"/>
  <c r="H16" i="12"/>
  <c r="AF42" i="21"/>
  <c r="G16" i="12"/>
  <c r="Z42" i="21"/>
  <c r="F16" i="12"/>
  <c r="E16" i="12"/>
  <c r="D16" i="12"/>
  <c r="H42" i="21"/>
  <c r="D82" i="21"/>
  <c r="H15" i="12"/>
  <c r="G15" i="12"/>
  <c r="F15" i="12"/>
  <c r="T41" i="21"/>
  <c r="E15" i="12"/>
  <c r="N41" i="21"/>
  <c r="D15" i="12"/>
  <c r="H41" i="21"/>
  <c r="I13" i="12"/>
  <c r="I12" i="12"/>
  <c r="I11" i="12"/>
  <c r="I10" i="12"/>
  <c r="I9" i="12"/>
  <c r="I8" i="12"/>
  <c r="I7" i="12"/>
  <c r="I6" i="12"/>
  <c r="I5" i="12"/>
  <c r="I4" i="12"/>
  <c r="I3" i="12"/>
  <c r="H39" i="11"/>
  <c r="G39" i="11"/>
  <c r="F39" i="11"/>
  <c r="E39" i="11"/>
  <c r="D39" i="11"/>
  <c r="H38" i="11"/>
  <c r="G38" i="11"/>
  <c r="F38" i="11"/>
  <c r="E38" i="11"/>
  <c r="D38" i="11"/>
  <c r="H37" i="11"/>
  <c r="H40" i="11"/>
  <c r="G37" i="11"/>
  <c r="F37" i="11"/>
  <c r="E37" i="11"/>
  <c r="D37" i="11"/>
  <c r="H36" i="11"/>
  <c r="G36" i="11"/>
  <c r="F36" i="11"/>
  <c r="E36" i="11"/>
  <c r="D36" i="11"/>
  <c r="H35" i="11"/>
  <c r="G35" i="11"/>
  <c r="F35" i="11"/>
  <c r="E35" i="11"/>
  <c r="D35" i="11"/>
  <c r="H34" i="11"/>
  <c r="G34" i="11"/>
  <c r="F34" i="11"/>
  <c r="E34" i="11"/>
  <c r="D34" i="11"/>
  <c r="H33" i="11"/>
  <c r="G33" i="11"/>
  <c r="F33" i="11"/>
  <c r="E33" i="11"/>
  <c r="D33" i="11"/>
  <c r="H32" i="11"/>
  <c r="G32" i="11"/>
  <c r="F32" i="11"/>
  <c r="E32" i="11"/>
  <c r="D32" i="11"/>
  <c r="H31" i="11"/>
  <c r="G31" i="11"/>
  <c r="F31" i="11"/>
  <c r="E31" i="11"/>
  <c r="E40" i="11"/>
  <c r="D31" i="11"/>
  <c r="H30" i="11"/>
  <c r="G30" i="11"/>
  <c r="F30" i="11"/>
  <c r="E30" i="11"/>
  <c r="D30" i="11"/>
  <c r="D40" i="11"/>
  <c r="H29" i="11"/>
  <c r="G29" i="11"/>
  <c r="F29" i="11"/>
  <c r="E29" i="11"/>
  <c r="D29" i="11"/>
  <c r="F26" i="11"/>
  <c r="E26" i="11"/>
  <c r="H25" i="11"/>
  <c r="G25" i="11"/>
  <c r="F25" i="11"/>
  <c r="E25" i="11"/>
  <c r="D25" i="11"/>
  <c r="H24" i="11"/>
  <c r="G24" i="11"/>
  <c r="F24" i="11"/>
  <c r="E24" i="11"/>
  <c r="D24" i="11"/>
  <c r="H23" i="11"/>
  <c r="G23" i="11"/>
  <c r="F23" i="11"/>
  <c r="E23" i="11"/>
  <c r="D23" i="11"/>
  <c r="H22" i="11"/>
  <c r="G22" i="11"/>
  <c r="F22" i="11"/>
  <c r="E22" i="11"/>
  <c r="D22" i="11"/>
  <c r="H21" i="11"/>
  <c r="G21" i="11"/>
  <c r="F21" i="11"/>
  <c r="E21" i="11"/>
  <c r="D21" i="11"/>
  <c r="H20" i="11"/>
  <c r="G20" i="11"/>
  <c r="F20" i="11"/>
  <c r="E20" i="11"/>
  <c r="D20" i="11"/>
  <c r="H19" i="11"/>
  <c r="G19" i="11"/>
  <c r="F19" i="11"/>
  <c r="E19" i="11"/>
  <c r="D19" i="11"/>
  <c r="H18" i="11"/>
  <c r="G18" i="11"/>
  <c r="F18" i="11"/>
  <c r="E18" i="11"/>
  <c r="D18" i="11"/>
  <c r="H17" i="11"/>
  <c r="G17" i="11"/>
  <c r="F17" i="11"/>
  <c r="E17" i="11"/>
  <c r="D17" i="11"/>
  <c r="H16" i="11"/>
  <c r="G16" i="11"/>
  <c r="F16" i="11"/>
  <c r="E16" i="11"/>
  <c r="D16" i="11"/>
  <c r="D26" i="11"/>
  <c r="H15" i="11"/>
  <c r="H26" i="11"/>
  <c r="G15" i="11"/>
  <c r="G26" i="11"/>
  <c r="F15" i="11"/>
  <c r="E15" i="11"/>
  <c r="D15" i="11"/>
  <c r="I13" i="11"/>
  <c r="I12" i="11"/>
  <c r="I11" i="11"/>
  <c r="I10" i="11"/>
  <c r="I9" i="11"/>
  <c r="I8" i="11"/>
  <c r="I7" i="11"/>
  <c r="I6" i="11"/>
  <c r="I5" i="11"/>
  <c r="I4" i="11"/>
  <c r="I3" i="11"/>
  <c r="H39" i="10"/>
  <c r="G39" i="10"/>
  <c r="F39" i="10"/>
  <c r="E39" i="10"/>
  <c r="D39" i="10"/>
  <c r="H38" i="10"/>
  <c r="G38" i="10"/>
  <c r="F38" i="10"/>
  <c r="E38" i="10"/>
  <c r="D38" i="10"/>
  <c r="H37" i="10"/>
  <c r="G37" i="10"/>
  <c r="F37" i="10"/>
  <c r="E37" i="10"/>
  <c r="D37" i="10"/>
  <c r="H36" i="10"/>
  <c r="G36" i="10"/>
  <c r="F36" i="10"/>
  <c r="E36" i="10"/>
  <c r="D36" i="10"/>
  <c r="H35" i="10"/>
  <c r="G35" i="10"/>
  <c r="F35" i="10"/>
  <c r="E35" i="10"/>
  <c r="D35" i="10"/>
  <c r="H34" i="10"/>
  <c r="G34" i="10"/>
  <c r="F34" i="10"/>
  <c r="E34" i="10"/>
  <c r="D34" i="10"/>
  <c r="H33" i="10"/>
  <c r="G33" i="10"/>
  <c r="F33" i="10"/>
  <c r="E33" i="10"/>
  <c r="D33" i="10"/>
  <c r="H32" i="10"/>
  <c r="G32" i="10"/>
  <c r="F32" i="10"/>
  <c r="E32" i="10"/>
  <c r="D32" i="10"/>
  <c r="H31" i="10"/>
  <c r="G31" i="10"/>
  <c r="F31" i="10"/>
  <c r="E31" i="10"/>
  <c r="D31" i="10"/>
  <c r="H30" i="10"/>
  <c r="G30" i="10"/>
  <c r="F30" i="10"/>
  <c r="E30" i="10"/>
  <c r="D30" i="10"/>
  <c r="H29" i="10"/>
  <c r="H40" i="10"/>
  <c r="G29" i="10"/>
  <c r="F29" i="10"/>
  <c r="E29" i="10"/>
  <c r="D29" i="10"/>
  <c r="D40" i="10"/>
  <c r="G26" i="10"/>
  <c r="H25" i="10"/>
  <c r="G25" i="10"/>
  <c r="F25" i="10"/>
  <c r="E25" i="10"/>
  <c r="D25" i="10"/>
  <c r="H24" i="10"/>
  <c r="G24" i="10"/>
  <c r="F24" i="10"/>
  <c r="E24" i="10"/>
  <c r="D24" i="10"/>
  <c r="H23" i="10"/>
  <c r="G23" i="10"/>
  <c r="F23" i="10"/>
  <c r="E23" i="10"/>
  <c r="D23" i="10"/>
  <c r="H22" i="10"/>
  <c r="G22" i="10"/>
  <c r="F22" i="10"/>
  <c r="E22" i="10"/>
  <c r="D22" i="10"/>
  <c r="H21" i="10"/>
  <c r="G21" i="10"/>
  <c r="F21" i="10"/>
  <c r="E21" i="10"/>
  <c r="D21" i="10"/>
  <c r="H20" i="10"/>
  <c r="G20" i="10"/>
  <c r="F20" i="10"/>
  <c r="E20" i="10"/>
  <c r="D20" i="10"/>
  <c r="H19" i="10"/>
  <c r="G19" i="10"/>
  <c r="F19" i="10"/>
  <c r="E19" i="10"/>
  <c r="D19" i="10"/>
  <c r="H18" i="10"/>
  <c r="G18" i="10"/>
  <c r="F18" i="10"/>
  <c r="E18" i="10"/>
  <c r="D18" i="10"/>
  <c r="H17" i="10"/>
  <c r="G17" i="10"/>
  <c r="F17" i="10"/>
  <c r="E17" i="10"/>
  <c r="D17" i="10"/>
  <c r="H16" i="10"/>
  <c r="G16" i="10"/>
  <c r="F16" i="10"/>
  <c r="E16" i="10"/>
  <c r="D16" i="10"/>
  <c r="H15" i="10"/>
  <c r="G15" i="10"/>
  <c r="F15" i="10"/>
  <c r="E15" i="10"/>
  <c r="D15" i="10"/>
  <c r="I13" i="10"/>
  <c r="I12" i="10"/>
  <c r="I11" i="10"/>
  <c r="I10" i="10"/>
  <c r="I9" i="10"/>
  <c r="I8" i="10"/>
  <c r="I7" i="10"/>
  <c r="I6" i="10"/>
  <c r="I5" i="10"/>
  <c r="I4" i="10"/>
  <c r="I3" i="10"/>
  <c r="H39" i="9"/>
  <c r="G39" i="9"/>
  <c r="F39" i="9"/>
  <c r="E39" i="9"/>
  <c r="D39" i="9"/>
  <c r="H38" i="9"/>
  <c r="G38" i="9"/>
  <c r="F38" i="9"/>
  <c r="E38" i="9"/>
  <c r="D38" i="9"/>
  <c r="H37" i="9"/>
  <c r="G37" i="9"/>
  <c r="F37" i="9"/>
  <c r="E37" i="9"/>
  <c r="D37" i="9"/>
  <c r="H36" i="9"/>
  <c r="G36" i="9"/>
  <c r="F36" i="9"/>
  <c r="E36" i="9"/>
  <c r="D36" i="9"/>
  <c r="H35" i="9"/>
  <c r="G35" i="9"/>
  <c r="F35" i="9"/>
  <c r="E35" i="9"/>
  <c r="D35" i="9"/>
  <c r="H34" i="9"/>
  <c r="G34" i="9"/>
  <c r="F34" i="9"/>
  <c r="E34" i="9"/>
  <c r="D34" i="9"/>
  <c r="H33" i="9"/>
  <c r="G33" i="9"/>
  <c r="F33" i="9"/>
  <c r="E33" i="9"/>
  <c r="D33" i="9"/>
  <c r="H32" i="9"/>
  <c r="G32" i="9"/>
  <c r="F32" i="9"/>
  <c r="E32" i="9"/>
  <c r="D32" i="9"/>
  <c r="H31" i="9"/>
  <c r="G31" i="9"/>
  <c r="F31" i="9"/>
  <c r="E31" i="9"/>
  <c r="D31" i="9"/>
  <c r="H30" i="9"/>
  <c r="G30" i="9"/>
  <c r="F30" i="9"/>
  <c r="E30" i="9"/>
  <c r="D30" i="9"/>
  <c r="H29" i="9"/>
  <c r="G29" i="9"/>
  <c r="F29" i="9"/>
  <c r="F40" i="9"/>
  <c r="E29" i="9"/>
  <c r="D29" i="9"/>
  <c r="H25" i="9"/>
  <c r="G25" i="9"/>
  <c r="F25" i="9"/>
  <c r="E25" i="9"/>
  <c r="D25" i="9"/>
  <c r="H24" i="9"/>
  <c r="G24" i="9"/>
  <c r="F24" i="9"/>
  <c r="E24" i="9"/>
  <c r="D24" i="9"/>
  <c r="H23" i="9"/>
  <c r="G23" i="9"/>
  <c r="F23" i="9"/>
  <c r="E23" i="9"/>
  <c r="D23" i="9"/>
  <c r="H22" i="9"/>
  <c r="G22" i="9"/>
  <c r="F22" i="9"/>
  <c r="E22" i="9"/>
  <c r="D22" i="9"/>
  <c r="H21" i="9"/>
  <c r="G21" i="9"/>
  <c r="F21" i="9"/>
  <c r="E21" i="9"/>
  <c r="D21" i="9"/>
  <c r="H20" i="9"/>
  <c r="G20" i="9"/>
  <c r="F20" i="9"/>
  <c r="E20" i="9"/>
  <c r="D20" i="9"/>
  <c r="H19" i="9"/>
  <c r="G19" i="9"/>
  <c r="F19" i="9"/>
  <c r="E19" i="9"/>
  <c r="D19" i="9"/>
  <c r="H18" i="9"/>
  <c r="G18" i="9"/>
  <c r="F18" i="9"/>
  <c r="E18" i="9"/>
  <c r="D18" i="9"/>
  <c r="H17" i="9"/>
  <c r="G17" i="9"/>
  <c r="F17" i="9"/>
  <c r="F26" i="9"/>
  <c r="E17" i="9"/>
  <c r="D17" i="9"/>
  <c r="H16" i="9"/>
  <c r="G16" i="9"/>
  <c r="F16" i="9"/>
  <c r="E16" i="9"/>
  <c r="E26" i="9"/>
  <c r="D16" i="9"/>
  <c r="H15" i="9"/>
  <c r="H26" i="9"/>
  <c r="G15" i="9"/>
  <c r="F15" i="9"/>
  <c r="E15" i="9"/>
  <c r="D15" i="9"/>
  <c r="I13" i="9"/>
  <c r="I12" i="9"/>
  <c r="I11" i="9"/>
  <c r="I10" i="9"/>
  <c r="I9" i="9"/>
  <c r="I8" i="9"/>
  <c r="I7" i="9"/>
  <c r="I6" i="9"/>
  <c r="I5" i="9"/>
  <c r="I4" i="9"/>
  <c r="I3" i="9"/>
  <c r="H39" i="7"/>
  <c r="G39" i="7"/>
  <c r="F39" i="7"/>
  <c r="E39" i="7"/>
  <c r="D39" i="7"/>
  <c r="H38" i="7"/>
  <c r="G38" i="7"/>
  <c r="F38" i="7"/>
  <c r="E38" i="7"/>
  <c r="D38" i="7"/>
  <c r="H37" i="7"/>
  <c r="G37" i="7"/>
  <c r="F37" i="7"/>
  <c r="E37" i="7"/>
  <c r="D37" i="7"/>
  <c r="H36" i="7"/>
  <c r="G36" i="7"/>
  <c r="F36" i="7"/>
  <c r="E36" i="7"/>
  <c r="D36" i="7"/>
  <c r="H35" i="7"/>
  <c r="G35" i="7"/>
  <c r="F35" i="7"/>
  <c r="E35" i="7"/>
  <c r="D35" i="7"/>
  <c r="H34" i="7"/>
  <c r="G34" i="7"/>
  <c r="F34" i="7"/>
  <c r="E34" i="7"/>
  <c r="D34" i="7"/>
  <c r="H33" i="7"/>
  <c r="G33" i="7"/>
  <c r="F33" i="7"/>
  <c r="E33" i="7"/>
  <c r="D33" i="7"/>
  <c r="H32" i="7"/>
  <c r="G32" i="7"/>
  <c r="F32" i="7"/>
  <c r="E32" i="7"/>
  <c r="D32" i="7"/>
  <c r="H31" i="7"/>
  <c r="G31" i="7"/>
  <c r="F31" i="7"/>
  <c r="E31" i="7"/>
  <c r="D31" i="7"/>
  <c r="H30" i="7"/>
  <c r="G30" i="7"/>
  <c r="F30" i="7"/>
  <c r="E30" i="7"/>
  <c r="D30" i="7"/>
  <c r="H29" i="7"/>
  <c r="H40" i="7"/>
  <c r="G29" i="7"/>
  <c r="G40" i="7"/>
  <c r="E30" i="2"/>
  <c r="F29" i="7"/>
  <c r="E29" i="7"/>
  <c r="E40" i="7"/>
  <c r="C30" i="2"/>
  <c r="D29" i="7"/>
  <c r="H25" i="7"/>
  <c r="G25" i="7"/>
  <c r="F25" i="7"/>
  <c r="E25" i="7"/>
  <c r="D25" i="7"/>
  <c r="H24" i="7"/>
  <c r="G24" i="7"/>
  <c r="F24" i="7"/>
  <c r="E24" i="7"/>
  <c r="D24" i="7"/>
  <c r="H23" i="7"/>
  <c r="G23" i="7"/>
  <c r="F23" i="7"/>
  <c r="E23" i="7"/>
  <c r="D23" i="7"/>
  <c r="H22" i="7"/>
  <c r="G22" i="7"/>
  <c r="F22" i="7"/>
  <c r="E22" i="7"/>
  <c r="D22" i="7"/>
  <c r="H21" i="7"/>
  <c r="G21" i="7"/>
  <c r="F21" i="7"/>
  <c r="E21" i="7"/>
  <c r="D21" i="7"/>
  <c r="H20" i="7"/>
  <c r="G20" i="7"/>
  <c r="F20" i="7"/>
  <c r="E20" i="7"/>
  <c r="D20" i="7"/>
  <c r="H19" i="7"/>
  <c r="AF30" i="21"/>
  <c r="G19" i="7"/>
  <c r="Z30" i="21"/>
  <c r="F19" i="7"/>
  <c r="T30" i="21"/>
  <c r="E19" i="7"/>
  <c r="N30" i="21"/>
  <c r="D19" i="7"/>
  <c r="H30" i="21"/>
  <c r="H18" i="7"/>
  <c r="AF29" i="21"/>
  <c r="G18" i="7"/>
  <c r="Z29" i="21"/>
  <c r="F18" i="7"/>
  <c r="T29" i="21"/>
  <c r="E18" i="7"/>
  <c r="N29" i="21"/>
  <c r="D18" i="7"/>
  <c r="H29" i="21"/>
  <c r="H17" i="7"/>
  <c r="AF28" i="21"/>
  <c r="G17" i="7"/>
  <c r="Z28" i="21"/>
  <c r="F17" i="7"/>
  <c r="T28" i="21"/>
  <c r="E17" i="7"/>
  <c r="N28" i="21"/>
  <c r="D17" i="7"/>
  <c r="H28" i="21"/>
  <c r="H16" i="7"/>
  <c r="AF27" i="21"/>
  <c r="G16" i="7"/>
  <c r="Z27" i="21"/>
  <c r="F16" i="7"/>
  <c r="E16" i="7"/>
  <c r="N27" i="21"/>
  <c r="D16" i="7"/>
  <c r="H27" i="21"/>
  <c r="H15" i="7"/>
  <c r="AF26" i="21"/>
  <c r="G15" i="7"/>
  <c r="F15" i="7"/>
  <c r="T26" i="21"/>
  <c r="E15" i="7"/>
  <c r="N26" i="21"/>
  <c r="D15" i="7"/>
  <c r="H26" i="21"/>
  <c r="I13" i="7"/>
  <c r="I12" i="7"/>
  <c r="I11" i="7"/>
  <c r="I10" i="7"/>
  <c r="I9" i="7"/>
  <c r="I8" i="7"/>
  <c r="I7" i="7"/>
  <c r="I6" i="7"/>
  <c r="I5" i="7"/>
  <c r="I4" i="7"/>
  <c r="I3" i="7"/>
  <c r="D110" i="6"/>
  <c r="B110" i="6"/>
  <c r="F109" i="6"/>
  <c r="E109" i="6"/>
  <c r="D109" i="6"/>
  <c r="C109" i="6"/>
  <c r="B109" i="6"/>
  <c r="F108" i="6"/>
  <c r="E108" i="6"/>
  <c r="E110" i="6"/>
  <c r="D108" i="6"/>
  <c r="C108" i="6"/>
  <c r="B108" i="6"/>
  <c r="F107" i="6"/>
  <c r="E107" i="6"/>
  <c r="D107" i="6"/>
  <c r="C107" i="6"/>
  <c r="B107" i="6"/>
  <c r="F106" i="6"/>
  <c r="E106" i="6"/>
  <c r="D106" i="6"/>
  <c r="C106" i="6"/>
  <c r="B106" i="6"/>
  <c r="E103" i="6"/>
  <c r="D103" i="6"/>
  <c r="F102" i="6"/>
  <c r="E102" i="6"/>
  <c r="D102" i="6"/>
  <c r="C102" i="6"/>
  <c r="B102" i="6"/>
  <c r="F101" i="6"/>
  <c r="E101" i="6"/>
  <c r="D101" i="6"/>
  <c r="C101" i="6"/>
  <c r="B101" i="6"/>
  <c r="F100" i="6"/>
  <c r="F103" i="6"/>
  <c r="E100" i="6"/>
  <c r="D100" i="6"/>
  <c r="C100" i="6"/>
  <c r="B100" i="6"/>
  <c r="F99" i="6"/>
  <c r="E99" i="6"/>
  <c r="D99" i="6"/>
  <c r="C99" i="6"/>
  <c r="B99" i="6"/>
  <c r="D96" i="6"/>
  <c r="B96" i="6"/>
  <c r="F95" i="6"/>
  <c r="E95" i="6"/>
  <c r="D95" i="6"/>
  <c r="C95" i="6"/>
  <c r="B95" i="6"/>
  <c r="F94" i="6"/>
  <c r="E94" i="6"/>
  <c r="D94" i="6"/>
  <c r="C94" i="6"/>
  <c r="B94" i="6"/>
  <c r="F93" i="6"/>
  <c r="E93" i="6"/>
  <c r="D93" i="6"/>
  <c r="C93" i="6"/>
  <c r="B93" i="6"/>
  <c r="A93" i="6"/>
  <c r="F92" i="6"/>
  <c r="F96" i="6"/>
  <c r="E92" i="6"/>
  <c r="D92" i="6"/>
  <c r="C92" i="6"/>
  <c r="B92" i="6"/>
  <c r="F88" i="6"/>
  <c r="E88" i="6"/>
  <c r="D88" i="6"/>
  <c r="C88" i="6"/>
  <c r="B88" i="6"/>
  <c r="F87" i="6"/>
  <c r="E87" i="6"/>
  <c r="D87" i="6"/>
  <c r="C87" i="6"/>
  <c r="B87" i="6"/>
  <c r="F86" i="6"/>
  <c r="E86" i="6"/>
  <c r="D86" i="6"/>
  <c r="C86" i="6"/>
  <c r="B86" i="6"/>
  <c r="F85" i="6"/>
  <c r="E85" i="6"/>
  <c r="D85" i="6"/>
  <c r="C85" i="6"/>
  <c r="B85" i="6"/>
  <c r="F84" i="6"/>
  <c r="F89" i="6"/>
  <c r="E84" i="6"/>
  <c r="D84" i="6"/>
  <c r="D89" i="6"/>
  <c r="C84" i="6"/>
  <c r="C89" i="6"/>
  <c r="B84" i="6"/>
  <c r="B81" i="6"/>
  <c r="F80" i="6"/>
  <c r="E80" i="6"/>
  <c r="D80" i="6"/>
  <c r="C80" i="6"/>
  <c r="B80" i="6"/>
  <c r="F79" i="6"/>
  <c r="E79" i="6"/>
  <c r="D79" i="6"/>
  <c r="C79" i="6"/>
  <c r="C81" i="6"/>
  <c r="B79" i="6"/>
  <c r="F78" i="6"/>
  <c r="E78" i="6"/>
  <c r="D78" i="6"/>
  <c r="C78" i="6"/>
  <c r="B78" i="6"/>
  <c r="F77" i="6"/>
  <c r="E77" i="6"/>
  <c r="D77" i="6"/>
  <c r="C77" i="6"/>
  <c r="B77" i="6"/>
  <c r="F76" i="6"/>
  <c r="F81" i="6"/>
  <c r="E76" i="6"/>
  <c r="E81" i="6"/>
  <c r="D76" i="6"/>
  <c r="C76" i="6"/>
  <c r="B76" i="6"/>
  <c r="B69" i="6"/>
  <c r="F68" i="6"/>
  <c r="E68" i="6"/>
  <c r="D68" i="6"/>
  <c r="C68" i="6"/>
  <c r="B68" i="6"/>
  <c r="F67" i="6"/>
  <c r="E67" i="6"/>
  <c r="D67" i="6"/>
  <c r="C67" i="6"/>
  <c r="B67" i="6"/>
  <c r="F66" i="6"/>
  <c r="E66" i="6"/>
  <c r="D66" i="6"/>
  <c r="C66" i="6"/>
  <c r="B66" i="6"/>
  <c r="F65" i="6"/>
  <c r="E65" i="6"/>
  <c r="D65" i="6"/>
  <c r="C65" i="6"/>
  <c r="B65" i="6"/>
  <c r="F64" i="6"/>
  <c r="E64" i="6"/>
  <c r="D64" i="6"/>
  <c r="C64" i="6"/>
  <c r="B64" i="6"/>
  <c r="F63" i="6"/>
  <c r="F69" i="6"/>
  <c r="E63" i="6"/>
  <c r="E69" i="6"/>
  <c r="D63" i="6"/>
  <c r="C63" i="6"/>
  <c r="B63" i="6"/>
  <c r="F60" i="6"/>
  <c r="E60" i="6"/>
  <c r="D60" i="6"/>
  <c r="C60" i="6"/>
  <c r="B60" i="6"/>
  <c r="F59" i="6"/>
  <c r="E59" i="6"/>
  <c r="D59" i="6"/>
  <c r="C59" i="6"/>
  <c r="O59" i="5"/>
  <c r="B59" i="6"/>
  <c r="F58" i="6"/>
  <c r="E58" i="6"/>
  <c r="D58" i="6"/>
  <c r="C58" i="6"/>
  <c r="C61" i="6"/>
  <c r="B58" i="6"/>
  <c r="F57" i="6"/>
  <c r="E57" i="6"/>
  <c r="D57" i="6"/>
  <c r="C57" i="6"/>
  <c r="B57" i="6"/>
  <c r="F56" i="6"/>
  <c r="F61" i="6"/>
  <c r="E56" i="6"/>
  <c r="D56" i="6"/>
  <c r="P56" i="5"/>
  <c r="C56" i="6"/>
  <c r="B56" i="6"/>
  <c r="F55" i="6"/>
  <c r="E55" i="6"/>
  <c r="E61" i="6"/>
  <c r="D55" i="6"/>
  <c r="D61" i="6"/>
  <c r="C55" i="6"/>
  <c r="B55" i="6"/>
  <c r="B61" i="6"/>
  <c r="F52" i="6"/>
  <c r="E52" i="6"/>
  <c r="D52" i="6"/>
  <c r="C52" i="6"/>
  <c r="B52" i="6"/>
  <c r="F51" i="6"/>
  <c r="E51" i="6"/>
  <c r="D51" i="6"/>
  <c r="C51" i="6"/>
  <c r="B51" i="6"/>
  <c r="F50" i="6"/>
  <c r="E50" i="6"/>
  <c r="D50" i="6"/>
  <c r="C50" i="6"/>
  <c r="B50" i="6"/>
  <c r="F49" i="6"/>
  <c r="E49" i="6"/>
  <c r="D49" i="6"/>
  <c r="P49" i="5"/>
  <c r="C49" i="6"/>
  <c r="B49" i="6"/>
  <c r="F48" i="6"/>
  <c r="E48" i="6"/>
  <c r="D48" i="6"/>
  <c r="C48" i="6"/>
  <c r="B48" i="6"/>
  <c r="F47" i="6"/>
  <c r="E47" i="6"/>
  <c r="E53" i="6"/>
  <c r="D47" i="6"/>
  <c r="D53" i="6"/>
  <c r="C47" i="6"/>
  <c r="C53" i="6"/>
  <c r="B47" i="6"/>
  <c r="B53" i="6"/>
  <c r="F44" i="6"/>
  <c r="E44" i="6"/>
  <c r="D44" i="6"/>
  <c r="C44" i="6"/>
  <c r="B44" i="6"/>
  <c r="N44" i="5"/>
  <c r="F43" i="6"/>
  <c r="E43" i="6"/>
  <c r="D43" i="6"/>
  <c r="C43" i="6"/>
  <c r="B43" i="6"/>
  <c r="F42" i="6"/>
  <c r="R42" i="5"/>
  <c r="E42" i="6"/>
  <c r="D42" i="6"/>
  <c r="C42" i="6"/>
  <c r="B42" i="6"/>
  <c r="F41" i="6"/>
  <c r="E41" i="6"/>
  <c r="D41" i="6"/>
  <c r="C41" i="6"/>
  <c r="C45" i="6"/>
  <c r="B41" i="6"/>
  <c r="F40" i="6"/>
  <c r="E40" i="6"/>
  <c r="E45" i="6"/>
  <c r="D40" i="6"/>
  <c r="C40" i="6"/>
  <c r="B40" i="6"/>
  <c r="F39" i="6"/>
  <c r="E39" i="6"/>
  <c r="D39" i="6"/>
  <c r="C39" i="6"/>
  <c r="B39" i="6"/>
  <c r="F38" i="6"/>
  <c r="F45" i="6"/>
  <c r="E38" i="6"/>
  <c r="D38" i="6"/>
  <c r="C38" i="6"/>
  <c r="B38" i="6"/>
  <c r="B45" i="6"/>
  <c r="L35" i="6"/>
  <c r="K35" i="6"/>
  <c r="J35" i="6"/>
  <c r="I35" i="6"/>
  <c r="F35" i="6"/>
  <c r="E35" i="6"/>
  <c r="D35" i="6"/>
  <c r="C35" i="6"/>
  <c r="B35" i="6"/>
  <c r="L34" i="6"/>
  <c r="K34" i="6"/>
  <c r="J34" i="6"/>
  <c r="I34" i="6"/>
  <c r="F34" i="6"/>
  <c r="E34" i="6"/>
  <c r="D34" i="6"/>
  <c r="C34" i="6"/>
  <c r="B34" i="6"/>
  <c r="L33" i="6"/>
  <c r="K33" i="6"/>
  <c r="J33" i="6"/>
  <c r="I33" i="6"/>
  <c r="F33" i="6"/>
  <c r="E33" i="6"/>
  <c r="D33" i="6"/>
  <c r="C33" i="6"/>
  <c r="B33" i="6"/>
  <c r="L32" i="6"/>
  <c r="K32" i="6"/>
  <c r="J32" i="6"/>
  <c r="I32" i="6"/>
  <c r="F32" i="6"/>
  <c r="E32" i="6"/>
  <c r="D32" i="6"/>
  <c r="C32" i="6"/>
  <c r="B32" i="6"/>
  <c r="L31" i="6"/>
  <c r="K31" i="6"/>
  <c r="J31" i="6"/>
  <c r="I31" i="6"/>
  <c r="F31" i="6"/>
  <c r="E31" i="6"/>
  <c r="D31" i="6"/>
  <c r="C31" i="6"/>
  <c r="B31" i="6"/>
  <c r="L30" i="6"/>
  <c r="K30" i="6"/>
  <c r="J30" i="6"/>
  <c r="I30" i="6"/>
  <c r="F30" i="6"/>
  <c r="E30" i="6"/>
  <c r="D30" i="6"/>
  <c r="C30" i="6"/>
  <c r="B30" i="6"/>
  <c r="L29" i="6"/>
  <c r="K29" i="6"/>
  <c r="J29" i="6"/>
  <c r="I29" i="6"/>
  <c r="F29" i="6"/>
  <c r="E29" i="6"/>
  <c r="Q29" i="5"/>
  <c r="D29" i="6"/>
  <c r="C29" i="6"/>
  <c r="B29" i="6"/>
  <c r="L28" i="6"/>
  <c r="K28" i="6"/>
  <c r="J28" i="6"/>
  <c r="I28" i="6"/>
  <c r="F28" i="6"/>
  <c r="E28" i="6"/>
  <c r="D28" i="6"/>
  <c r="C28" i="6"/>
  <c r="B28" i="6"/>
  <c r="L27" i="6"/>
  <c r="K27" i="6"/>
  <c r="J27" i="6"/>
  <c r="I27" i="6"/>
  <c r="F27" i="6"/>
  <c r="E27" i="6"/>
  <c r="D27" i="6"/>
  <c r="C27" i="6"/>
  <c r="B27" i="6"/>
  <c r="L26" i="6"/>
  <c r="K26" i="6"/>
  <c r="J26" i="6"/>
  <c r="I26" i="6"/>
  <c r="F26" i="6"/>
  <c r="E26" i="6"/>
  <c r="D26" i="6"/>
  <c r="C26" i="6"/>
  <c r="B26" i="6"/>
  <c r="L25" i="6"/>
  <c r="K25" i="6"/>
  <c r="J25" i="6"/>
  <c r="I25" i="6"/>
  <c r="F25" i="6"/>
  <c r="E25" i="6"/>
  <c r="D25" i="6"/>
  <c r="C25" i="6"/>
  <c r="B25" i="6"/>
  <c r="L24" i="6"/>
  <c r="K24" i="6"/>
  <c r="J24" i="6"/>
  <c r="I24" i="6"/>
  <c r="F24" i="6"/>
  <c r="E24" i="6"/>
  <c r="D24" i="6"/>
  <c r="C24" i="6"/>
  <c r="B24" i="6"/>
  <c r="L23" i="6"/>
  <c r="K23" i="6"/>
  <c r="J23" i="6"/>
  <c r="I23" i="6"/>
  <c r="F23" i="6"/>
  <c r="E23" i="6"/>
  <c r="D23" i="6"/>
  <c r="C23" i="6"/>
  <c r="B23" i="6"/>
  <c r="L22" i="6"/>
  <c r="K22" i="6"/>
  <c r="J22" i="6"/>
  <c r="I22" i="6"/>
  <c r="F22" i="6"/>
  <c r="E22" i="6"/>
  <c r="D22" i="6"/>
  <c r="C22" i="6"/>
  <c r="B22" i="6"/>
  <c r="L21" i="6"/>
  <c r="K21" i="6"/>
  <c r="J21" i="6"/>
  <c r="I21" i="6"/>
  <c r="F21" i="6"/>
  <c r="E21" i="6"/>
  <c r="D21" i="6"/>
  <c r="C21" i="6"/>
  <c r="B21" i="6"/>
  <c r="L20" i="6"/>
  <c r="K20" i="6"/>
  <c r="J20" i="6"/>
  <c r="I20" i="6"/>
  <c r="F20" i="6"/>
  <c r="E20" i="6"/>
  <c r="D20" i="6"/>
  <c r="C20" i="6"/>
  <c r="B20" i="6"/>
  <c r="L19" i="6"/>
  <c r="K19" i="6"/>
  <c r="J19" i="6"/>
  <c r="I19" i="6"/>
  <c r="F19" i="6"/>
  <c r="E19" i="6"/>
  <c r="D19" i="6"/>
  <c r="C19" i="6"/>
  <c r="B19" i="6"/>
  <c r="L18" i="6"/>
  <c r="K18" i="6"/>
  <c r="J18" i="6"/>
  <c r="I18" i="6"/>
  <c r="H18" i="6"/>
  <c r="F18" i="6"/>
  <c r="E18" i="6"/>
  <c r="D18" i="6"/>
  <c r="C18" i="6"/>
  <c r="B18" i="6"/>
  <c r="L17" i="6"/>
  <c r="K17" i="6"/>
  <c r="J17" i="6"/>
  <c r="J36" i="6"/>
  <c r="I17" i="6"/>
  <c r="H17" i="6"/>
  <c r="F17" i="6"/>
  <c r="E17" i="6"/>
  <c r="D17" i="6"/>
  <c r="C17" i="6"/>
  <c r="B17" i="6"/>
  <c r="L16" i="6"/>
  <c r="K16" i="6"/>
  <c r="J16" i="6"/>
  <c r="I16" i="6"/>
  <c r="H16" i="6"/>
  <c r="F16" i="6"/>
  <c r="E16" i="6"/>
  <c r="D16" i="6"/>
  <c r="C16" i="6"/>
  <c r="B16" i="6"/>
  <c r="L15" i="6"/>
  <c r="K15" i="6"/>
  <c r="J15" i="6"/>
  <c r="I15" i="6"/>
  <c r="H15" i="6"/>
  <c r="F15" i="6"/>
  <c r="E15" i="6"/>
  <c r="D15" i="6"/>
  <c r="C15" i="6"/>
  <c r="B15" i="6"/>
  <c r="L14" i="6"/>
  <c r="K14" i="6"/>
  <c r="J14" i="6"/>
  <c r="I14" i="6"/>
  <c r="H14" i="6"/>
  <c r="F14" i="6"/>
  <c r="E14" i="6"/>
  <c r="D14" i="6"/>
  <c r="C14" i="6"/>
  <c r="B14" i="6"/>
  <c r="L13" i="6"/>
  <c r="K13" i="6"/>
  <c r="J13" i="6"/>
  <c r="I13" i="6"/>
  <c r="H13" i="6"/>
  <c r="F13" i="6"/>
  <c r="E13" i="6"/>
  <c r="D13" i="6"/>
  <c r="C13" i="6"/>
  <c r="B13" i="6"/>
  <c r="L12" i="6"/>
  <c r="K12" i="6"/>
  <c r="J12" i="6"/>
  <c r="I12" i="6"/>
  <c r="H12" i="6"/>
  <c r="F12" i="6"/>
  <c r="E12" i="6"/>
  <c r="D12" i="6"/>
  <c r="C12" i="6"/>
  <c r="B12" i="6"/>
  <c r="L11" i="6"/>
  <c r="K11" i="6"/>
  <c r="J11" i="6"/>
  <c r="I11" i="6"/>
  <c r="H11" i="6"/>
  <c r="F11" i="6"/>
  <c r="E11" i="6"/>
  <c r="D11" i="6"/>
  <c r="C11" i="6"/>
  <c r="B11" i="6"/>
  <c r="L10" i="6"/>
  <c r="K10" i="6"/>
  <c r="J10" i="6"/>
  <c r="I10" i="6"/>
  <c r="H10" i="6"/>
  <c r="F10" i="6"/>
  <c r="E10" i="6"/>
  <c r="D10" i="6"/>
  <c r="C10" i="6"/>
  <c r="B10" i="6"/>
  <c r="L9" i="6"/>
  <c r="K9" i="6"/>
  <c r="J9" i="6"/>
  <c r="I9" i="6"/>
  <c r="H9" i="6"/>
  <c r="F9" i="6"/>
  <c r="E9" i="6"/>
  <c r="D9" i="6"/>
  <c r="C9" i="6"/>
  <c r="B9" i="6"/>
  <c r="L8" i="6"/>
  <c r="K8" i="6"/>
  <c r="J8" i="6"/>
  <c r="I8" i="6"/>
  <c r="H8" i="6"/>
  <c r="F8" i="6"/>
  <c r="E8" i="6"/>
  <c r="D8" i="6"/>
  <c r="C8" i="6"/>
  <c r="B8" i="6"/>
  <c r="L7" i="6"/>
  <c r="K7" i="6"/>
  <c r="J7" i="6"/>
  <c r="I7" i="6"/>
  <c r="H7" i="6"/>
  <c r="F7" i="6"/>
  <c r="E7" i="6"/>
  <c r="D7" i="6"/>
  <c r="C7" i="6"/>
  <c r="B7" i="6"/>
  <c r="L6" i="6"/>
  <c r="K6" i="6"/>
  <c r="J6" i="6"/>
  <c r="I6" i="6"/>
  <c r="H6" i="6"/>
  <c r="F6" i="6"/>
  <c r="E6" i="6"/>
  <c r="D6" i="6"/>
  <c r="C6" i="6"/>
  <c r="B6" i="6"/>
  <c r="L5" i="6"/>
  <c r="K5" i="6"/>
  <c r="J5" i="6"/>
  <c r="I5" i="6"/>
  <c r="I36" i="6"/>
  <c r="H5" i="6"/>
  <c r="F5" i="6"/>
  <c r="E5" i="6"/>
  <c r="D5" i="6"/>
  <c r="C5" i="6"/>
  <c r="B5" i="6"/>
  <c r="B36" i="6"/>
  <c r="F111" i="5"/>
  <c r="F110" i="5"/>
  <c r="E110" i="5"/>
  <c r="D110" i="5"/>
  <c r="C110" i="5"/>
  <c r="B110" i="5"/>
  <c r="R110" i="5"/>
  <c r="A110" i="5"/>
  <c r="F109" i="5"/>
  <c r="E109" i="5"/>
  <c r="D109" i="5"/>
  <c r="C109" i="5"/>
  <c r="B109" i="5"/>
  <c r="R109" i="5"/>
  <c r="A109" i="5"/>
  <c r="F108" i="5"/>
  <c r="E108" i="5"/>
  <c r="D108" i="5"/>
  <c r="C108" i="5"/>
  <c r="B108" i="5"/>
  <c r="R108" i="5"/>
  <c r="A108" i="5"/>
  <c r="F107" i="5"/>
  <c r="E107" i="5"/>
  <c r="D107" i="5"/>
  <c r="D111" i="5"/>
  <c r="C107" i="5"/>
  <c r="C111" i="5"/>
  <c r="B107" i="5"/>
  <c r="B111" i="5"/>
  <c r="A107" i="5"/>
  <c r="F104" i="5"/>
  <c r="L104" i="5"/>
  <c r="E104" i="5"/>
  <c r="K104" i="5"/>
  <c r="D104" i="5"/>
  <c r="J104" i="5"/>
  <c r="C104" i="5"/>
  <c r="I104" i="5"/>
  <c r="B104" i="5"/>
  <c r="R104" i="5"/>
  <c r="A104" i="5"/>
  <c r="F103" i="5"/>
  <c r="L103" i="5"/>
  <c r="E103" i="5"/>
  <c r="K103" i="5"/>
  <c r="D103" i="5"/>
  <c r="J103" i="5"/>
  <c r="C103" i="5"/>
  <c r="I103" i="5"/>
  <c r="B103" i="5"/>
  <c r="R103" i="5"/>
  <c r="A103" i="5"/>
  <c r="F102" i="5"/>
  <c r="L102" i="5"/>
  <c r="E102" i="5"/>
  <c r="K102" i="5"/>
  <c r="D102" i="5"/>
  <c r="J102" i="5"/>
  <c r="C102" i="5"/>
  <c r="I102" i="5"/>
  <c r="B102" i="5"/>
  <c r="R102" i="5"/>
  <c r="A102" i="5"/>
  <c r="F101" i="5"/>
  <c r="L101" i="5"/>
  <c r="E101" i="5"/>
  <c r="K101" i="5"/>
  <c r="D101" i="5"/>
  <c r="C101" i="5"/>
  <c r="B101" i="5"/>
  <c r="A101" i="5"/>
  <c r="D99" i="5"/>
  <c r="F98" i="5"/>
  <c r="L98" i="5"/>
  <c r="E98" i="5"/>
  <c r="K98" i="5"/>
  <c r="D98" i="5"/>
  <c r="J98" i="5"/>
  <c r="C98" i="5"/>
  <c r="I98" i="5"/>
  <c r="B98" i="5"/>
  <c r="R98" i="5"/>
  <c r="A98" i="5"/>
  <c r="A95" i="6"/>
  <c r="F97" i="5"/>
  <c r="L97" i="5"/>
  <c r="E97" i="5"/>
  <c r="K97" i="5"/>
  <c r="D97" i="5"/>
  <c r="J97" i="5"/>
  <c r="C97" i="5"/>
  <c r="I97" i="5"/>
  <c r="B97" i="5"/>
  <c r="R97" i="5"/>
  <c r="A97" i="5"/>
  <c r="A94" i="6"/>
  <c r="F96" i="5"/>
  <c r="L96" i="5"/>
  <c r="E96" i="5"/>
  <c r="K96" i="5"/>
  <c r="D96" i="5"/>
  <c r="J96" i="5"/>
  <c r="C96" i="5"/>
  <c r="I96" i="5"/>
  <c r="B96" i="5"/>
  <c r="R96" i="5"/>
  <c r="A96" i="5"/>
  <c r="F95" i="5"/>
  <c r="L95" i="5"/>
  <c r="E95" i="5"/>
  <c r="K95" i="5"/>
  <c r="K99" i="5"/>
  <c r="D95" i="5"/>
  <c r="J95" i="5"/>
  <c r="C95" i="5"/>
  <c r="B95" i="5"/>
  <c r="B99" i="5"/>
  <c r="A95" i="5"/>
  <c r="A92" i="6"/>
  <c r="C93" i="5"/>
  <c r="F92" i="5"/>
  <c r="L92" i="5"/>
  <c r="E92" i="5"/>
  <c r="K92" i="5"/>
  <c r="D92" i="5"/>
  <c r="J92" i="5"/>
  <c r="C92" i="5"/>
  <c r="I92" i="5"/>
  <c r="B92" i="5"/>
  <c r="A92" i="5"/>
  <c r="F91" i="5"/>
  <c r="L91" i="5"/>
  <c r="E91" i="5"/>
  <c r="K91" i="5"/>
  <c r="D91" i="5"/>
  <c r="J91" i="5"/>
  <c r="C91" i="5"/>
  <c r="I91" i="5"/>
  <c r="B91" i="5"/>
  <c r="A91" i="5"/>
  <c r="F90" i="5"/>
  <c r="L90" i="5"/>
  <c r="E90" i="5"/>
  <c r="K90" i="5"/>
  <c r="D90" i="5"/>
  <c r="J90" i="5"/>
  <c r="C90" i="5"/>
  <c r="I90" i="5"/>
  <c r="B90" i="5"/>
  <c r="A90" i="5"/>
  <c r="F89" i="5"/>
  <c r="L89" i="5"/>
  <c r="E89" i="5"/>
  <c r="K89" i="5"/>
  <c r="D89" i="5"/>
  <c r="J89" i="5"/>
  <c r="C89" i="5"/>
  <c r="I89" i="5"/>
  <c r="B89" i="5"/>
  <c r="A89" i="5"/>
  <c r="F88" i="5"/>
  <c r="L88" i="5"/>
  <c r="E88" i="5"/>
  <c r="K88" i="5"/>
  <c r="D88" i="5"/>
  <c r="J88" i="5"/>
  <c r="C88" i="5"/>
  <c r="I88" i="5"/>
  <c r="B88" i="5"/>
  <c r="A88" i="5"/>
  <c r="F87" i="5"/>
  <c r="L87" i="5"/>
  <c r="E87" i="5"/>
  <c r="K87" i="5"/>
  <c r="D87" i="5"/>
  <c r="J87" i="5"/>
  <c r="C87" i="5"/>
  <c r="I87" i="5"/>
  <c r="B87" i="5"/>
  <c r="A87" i="5"/>
  <c r="F86" i="5"/>
  <c r="L86" i="5"/>
  <c r="E86" i="5"/>
  <c r="K86" i="5"/>
  <c r="K93" i="5"/>
  <c r="E23" i="2"/>
  <c r="D86" i="5"/>
  <c r="J86" i="5"/>
  <c r="C86" i="5"/>
  <c r="I86" i="5"/>
  <c r="B86" i="5"/>
  <c r="A86" i="5"/>
  <c r="A84" i="6"/>
  <c r="F84" i="5"/>
  <c r="B84" i="5"/>
  <c r="R83" i="5"/>
  <c r="F83" i="5"/>
  <c r="L83" i="5"/>
  <c r="E83" i="5"/>
  <c r="K83" i="5"/>
  <c r="D83" i="5"/>
  <c r="J83" i="5"/>
  <c r="C83" i="5"/>
  <c r="I83" i="5"/>
  <c r="B83" i="5"/>
  <c r="Q83" i="5"/>
  <c r="A83" i="5"/>
  <c r="A80" i="6"/>
  <c r="R82" i="5"/>
  <c r="F82" i="5"/>
  <c r="L82" i="5"/>
  <c r="E82" i="5"/>
  <c r="K82" i="5"/>
  <c r="D82" i="5"/>
  <c r="J82" i="5"/>
  <c r="C82" i="5"/>
  <c r="I82" i="5"/>
  <c r="B82" i="5"/>
  <c r="Q82" i="5"/>
  <c r="A82" i="5"/>
  <c r="A79" i="6"/>
  <c r="R81" i="5"/>
  <c r="F81" i="5"/>
  <c r="L81" i="5"/>
  <c r="E81" i="5"/>
  <c r="K81" i="5"/>
  <c r="D81" i="5"/>
  <c r="J81" i="5"/>
  <c r="C81" i="5"/>
  <c r="I81" i="5"/>
  <c r="B81" i="5"/>
  <c r="Q81" i="5"/>
  <c r="A81" i="5"/>
  <c r="A78" i="6"/>
  <c r="R80" i="5"/>
  <c r="F80" i="5"/>
  <c r="L80" i="5"/>
  <c r="E80" i="5"/>
  <c r="K80" i="5"/>
  <c r="D80" i="5"/>
  <c r="J80" i="5"/>
  <c r="C80" i="5"/>
  <c r="I80" i="5"/>
  <c r="B80" i="5"/>
  <c r="Q80" i="5"/>
  <c r="A80" i="5"/>
  <c r="A77" i="6"/>
  <c r="F79" i="5"/>
  <c r="L79" i="5"/>
  <c r="E79" i="5"/>
  <c r="K79" i="5"/>
  <c r="D79" i="5"/>
  <c r="J79" i="5"/>
  <c r="J84" i="5"/>
  <c r="C79" i="5"/>
  <c r="I79" i="5"/>
  <c r="B79" i="5"/>
  <c r="Q79" i="5"/>
  <c r="A79" i="5"/>
  <c r="A76" i="6"/>
  <c r="Q69" i="5"/>
  <c r="R68" i="5"/>
  <c r="Q68" i="5"/>
  <c r="P68" i="5"/>
  <c r="O68" i="5"/>
  <c r="N68" i="5"/>
  <c r="A68" i="5"/>
  <c r="A68" i="6"/>
  <c r="R67" i="5"/>
  <c r="Q67" i="5"/>
  <c r="P67" i="5"/>
  <c r="O67" i="5"/>
  <c r="N67" i="5"/>
  <c r="A67" i="5"/>
  <c r="A67" i="6"/>
  <c r="R66" i="5"/>
  <c r="Q66" i="5"/>
  <c r="P66" i="5"/>
  <c r="O66" i="5"/>
  <c r="N66" i="5"/>
  <c r="A66" i="5"/>
  <c r="L110" i="5"/>
  <c r="R65" i="5"/>
  <c r="Q65" i="5"/>
  <c r="P65" i="5"/>
  <c r="O65" i="5"/>
  <c r="N65" i="5"/>
  <c r="A65" i="5"/>
  <c r="A65" i="6"/>
  <c r="R64" i="5"/>
  <c r="Q64" i="5"/>
  <c r="P64" i="5"/>
  <c r="O64" i="5"/>
  <c r="N64" i="5"/>
  <c r="A64" i="5"/>
  <c r="A64" i="6"/>
  <c r="R63" i="5"/>
  <c r="R69" i="5"/>
  <c r="Q63" i="5"/>
  <c r="P63" i="5"/>
  <c r="N63" i="5"/>
  <c r="N69" i="5"/>
  <c r="A63" i="5"/>
  <c r="A63" i="6"/>
  <c r="P61" i="5"/>
  <c r="R60" i="5"/>
  <c r="Q60" i="5"/>
  <c r="P60" i="5"/>
  <c r="O60" i="5"/>
  <c r="N60" i="5"/>
  <c r="A60" i="5"/>
  <c r="A60" i="6"/>
  <c r="R59" i="5"/>
  <c r="Q59" i="5"/>
  <c r="P59" i="5"/>
  <c r="N59" i="5"/>
  <c r="A59" i="5"/>
  <c r="A59" i="6"/>
  <c r="R58" i="5"/>
  <c r="Q58" i="5"/>
  <c r="P58" i="5"/>
  <c r="O58" i="5"/>
  <c r="N58" i="5"/>
  <c r="A58" i="5"/>
  <c r="A58" i="6"/>
  <c r="R57" i="5"/>
  <c r="Q57" i="5"/>
  <c r="P57" i="5"/>
  <c r="O57" i="5"/>
  <c r="N57" i="5"/>
  <c r="A57" i="5"/>
  <c r="A57" i="6"/>
  <c r="R56" i="5"/>
  <c r="Q56" i="5"/>
  <c r="O56" i="5"/>
  <c r="N56" i="5"/>
  <c r="A56" i="5"/>
  <c r="A56" i="6"/>
  <c r="R55" i="5"/>
  <c r="R61" i="5"/>
  <c r="Q55" i="5"/>
  <c r="Q61" i="5"/>
  <c r="P55" i="5"/>
  <c r="O55" i="5"/>
  <c r="A55" i="5"/>
  <c r="A55" i="6"/>
  <c r="O53" i="5"/>
  <c r="R52" i="5"/>
  <c r="Q52" i="5"/>
  <c r="P52" i="5"/>
  <c r="O52" i="5"/>
  <c r="N52" i="5"/>
  <c r="A52" i="5"/>
  <c r="A52" i="6"/>
  <c r="R51" i="5"/>
  <c r="Q51" i="5"/>
  <c r="P51" i="5"/>
  <c r="O51" i="5"/>
  <c r="N51" i="5"/>
  <c r="A51" i="5"/>
  <c r="A51" i="6"/>
  <c r="R50" i="5"/>
  <c r="Q50" i="5"/>
  <c r="P50" i="5"/>
  <c r="O50" i="5"/>
  <c r="N50" i="5"/>
  <c r="A50" i="5"/>
  <c r="R49" i="5"/>
  <c r="Q49" i="5"/>
  <c r="O49" i="5"/>
  <c r="N49" i="5"/>
  <c r="A49" i="5"/>
  <c r="A49" i="6"/>
  <c r="R48" i="5"/>
  <c r="Q48" i="5"/>
  <c r="P48" i="5"/>
  <c r="O48" i="5"/>
  <c r="N48" i="5"/>
  <c r="A48" i="5"/>
  <c r="R47" i="5"/>
  <c r="R53" i="5"/>
  <c r="Q47" i="5"/>
  <c r="Q53" i="5"/>
  <c r="P47" i="5"/>
  <c r="P53" i="5"/>
  <c r="O47" i="5"/>
  <c r="N47" i="5"/>
  <c r="A47" i="5"/>
  <c r="A47" i="6"/>
  <c r="X44" i="5"/>
  <c r="AD44" i="5"/>
  <c r="L44" i="6"/>
  <c r="W44" i="5"/>
  <c r="AC44" i="5"/>
  <c r="K44" i="6"/>
  <c r="V44" i="5"/>
  <c r="AB44" i="5"/>
  <c r="J44" i="6"/>
  <c r="U44" i="5"/>
  <c r="AA44" i="5"/>
  <c r="I44" i="6"/>
  <c r="T44" i="5"/>
  <c r="Z44" i="5"/>
  <c r="H44" i="6"/>
  <c r="R44" i="5"/>
  <c r="Q44" i="5"/>
  <c r="P44" i="5"/>
  <c r="O44" i="5"/>
  <c r="A44" i="5"/>
  <c r="A44" i="6"/>
  <c r="AD43" i="5"/>
  <c r="L43" i="6"/>
  <c r="AC43" i="5"/>
  <c r="K43" i="6"/>
  <c r="AB43" i="5"/>
  <c r="J43" i="6"/>
  <c r="X43" i="5"/>
  <c r="W43" i="5"/>
  <c r="V43" i="5"/>
  <c r="U43" i="5"/>
  <c r="AA43" i="5"/>
  <c r="I43" i="6"/>
  <c r="T43" i="5"/>
  <c r="Z43" i="5"/>
  <c r="H43" i="6"/>
  <c r="R43" i="5"/>
  <c r="Q43" i="5"/>
  <c r="P43" i="5"/>
  <c r="O43" i="5"/>
  <c r="N43" i="5"/>
  <c r="A43" i="5"/>
  <c r="A43" i="6"/>
  <c r="AA42" i="5"/>
  <c r="I42" i="6"/>
  <c r="Z42" i="5"/>
  <c r="H42" i="6"/>
  <c r="X42" i="5"/>
  <c r="AD42" i="5"/>
  <c r="L42" i="6"/>
  <c r="W42" i="5"/>
  <c r="AC42" i="5"/>
  <c r="K42" i="6"/>
  <c r="V42" i="5"/>
  <c r="AB42" i="5"/>
  <c r="J42" i="6"/>
  <c r="U42" i="5"/>
  <c r="T42" i="5"/>
  <c r="Q42" i="5"/>
  <c r="P42" i="5"/>
  <c r="O42" i="5"/>
  <c r="N42" i="5"/>
  <c r="A42" i="5"/>
  <c r="A42" i="6"/>
  <c r="X41" i="5"/>
  <c r="AD41" i="5"/>
  <c r="L41" i="6"/>
  <c r="W41" i="5"/>
  <c r="AC41" i="5"/>
  <c r="K41" i="6"/>
  <c r="V41" i="5"/>
  <c r="AB41" i="5"/>
  <c r="J41" i="6"/>
  <c r="U41" i="5"/>
  <c r="AA41" i="5"/>
  <c r="I41" i="6"/>
  <c r="T41" i="5"/>
  <c r="Z41" i="5"/>
  <c r="H41" i="6"/>
  <c r="R41" i="5"/>
  <c r="Q41" i="5"/>
  <c r="P41" i="5"/>
  <c r="O41" i="5"/>
  <c r="N41" i="5"/>
  <c r="A41" i="5"/>
  <c r="A41" i="6"/>
  <c r="AD40" i="5"/>
  <c r="L40" i="6"/>
  <c r="AC40" i="5"/>
  <c r="K40" i="6"/>
  <c r="AB40" i="5"/>
  <c r="J40" i="6"/>
  <c r="AA40" i="5"/>
  <c r="I40" i="6"/>
  <c r="Z40" i="5"/>
  <c r="H40" i="6"/>
  <c r="X40" i="5"/>
  <c r="W40" i="5"/>
  <c r="V40" i="5"/>
  <c r="U40" i="5"/>
  <c r="T40" i="5"/>
  <c r="R40" i="5"/>
  <c r="Q40" i="5"/>
  <c r="P40" i="5"/>
  <c r="O40" i="5"/>
  <c r="N40" i="5"/>
  <c r="A40" i="5"/>
  <c r="A40" i="6"/>
  <c r="Z39" i="5"/>
  <c r="H39" i="6"/>
  <c r="X39" i="5"/>
  <c r="AD39" i="5"/>
  <c r="L39" i="6"/>
  <c r="W39" i="5"/>
  <c r="AC39" i="5"/>
  <c r="K39" i="6"/>
  <c r="V39" i="5"/>
  <c r="AB39" i="5"/>
  <c r="J39" i="6"/>
  <c r="U39" i="5"/>
  <c r="AA39" i="5"/>
  <c r="I39" i="6"/>
  <c r="T39" i="5"/>
  <c r="R39" i="5"/>
  <c r="Q39" i="5"/>
  <c r="P39" i="5"/>
  <c r="O39" i="5"/>
  <c r="N39" i="5"/>
  <c r="B39" i="5"/>
  <c r="H39" i="5"/>
  <c r="A39" i="5"/>
  <c r="A39" i="6"/>
  <c r="AC38" i="5"/>
  <c r="AB38" i="5"/>
  <c r="AA38" i="5"/>
  <c r="Z38" i="5"/>
  <c r="H38" i="6"/>
  <c r="H45" i="6"/>
  <c r="X38" i="5"/>
  <c r="W38" i="5"/>
  <c r="V38" i="5"/>
  <c r="U38" i="5"/>
  <c r="T38" i="5"/>
  <c r="R38" i="5"/>
  <c r="Q38" i="5"/>
  <c r="P38" i="5"/>
  <c r="O38" i="5"/>
  <c r="O45" i="5"/>
  <c r="N38" i="5"/>
  <c r="N45" i="5"/>
  <c r="A38" i="5"/>
  <c r="A38" i="6"/>
  <c r="S36" i="5"/>
  <c r="AD35" i="5"/>
  <c r="X35" i="5"/>
  <c r="W35" i="5"/>
  <c r="AC35" i="5"/>
  <c r="V35" i="5"/>
  <c r="AB35" i="5"/>
  <c r="U35" i="5"/>
  <c r="AA35" i="5"/>
  <c r="T35" i="5"/>
  <c r="Z35" i="5"/>
  <c r="R35" i="5"/>
  <c r="Q35" i="5"/>
  <c r="P35" i="5"/>
  <c r="O35" i="5"/>
  <c r="N35" i="5"/>
  <c r="A35" i="5"/>
  <c r="A35" i="6"/>
  <c r="AD34" i="5"/>
  <c r="AA34" i="5"/>
  <c r="Z34" i="5"/>
  <c r="X34" i="5"/>
  <c r="W34" i="5"/>
  <c r="AC34" i="5"/>
  <c r="V34" i="5"/>
  <c r="AB34" i="5"/>
  <c r="U34" i="5"/>
  <c r="T34" i="5"/>
  <c r="R34" i="5"/>
  <c r="Q34" i="5"/>
  <c r="P34" i="5"/>
  <c r="O34" i="5"/>
  <c r="N34" i="5"/>
  <c r="A34" i="5"/>
  <c r="A34" i="6"/>
  <c r="AB33" i="5"/>
  <c r="AA33" i="5"/>
  <c r="Z33" i="5"/>
  <c r="X33" i="5"/>
  <c r="AD33" i="5"/>
  <c r="W33" i="5"/>
  <c r="AC33" i="5"/>
  <c r="V33" i="5"/>
  <c r="U33" i="5"/>
  <c r="T33" i="5"/>
  <c r="R33" i="5"/>
  <c r="Q33" i="5"/>
  <c r="P33" i="5"/>
  <c r="O33" i="5"/>
  <c r="N33" i="5"/>
  <c r="A33" i="5"/>
  <c r="A33" i="6"/>
  <c r="AD32" i="5"/>
  <c r="AC32" i="5"/>
  <c r="AB32" i="5"/>
  <c r="X32" i="5"/>
  <c r="W32" i="5"/>
  <c r="V32" i="5"/>
  <c r="U32" i="5"/>
  <c r="AA32" i="5"/>
  <c r="T32" i="5"/>
  <c r="Z32" i="5"/>
  <c r="R32" i="5"/>
  <c r="Q32" i="5"/>
  <c r="P32" i="5"/>
  <c r="O32" i="5"/>
  <c r="N32" i="5"/>
  <c r="A32" i="5"/>
  <c r="A32" i="6"/>
  <c r="AD31" i="5"/>
  <c r="AB31" i="5"/>
  <c r="X31" i="5"/>
  <c r="W31" i="5"/>
  <c r="AC31" i="5"/>
  <c r="V31" i="5"/>
  <c r="U31" i="5"/>
  <c r="AA31" i="5"/>
  <c r="T31" i="5"/>
  <c r="Z31" i="5"/>
  <c r="R31" i="5"/>
  <c r="Q31" i="5"/>
  <c r="P31" i="5"/>
  <c r="O31" i="5"/>
  <c r="N31" i="5"/>
  <c r="A31" i="5"/>
  <c r="A31" i="6"/>
  <c r="Z30" i="5"/>
  <c r="X30" i="5"/>
  <c r="AD30" i="5"/>
  <c r="W30" i="5"/>
  <c r="AC30" i="5"/>
  <c r="V30" i="5"/>
  <c r="AB30" i="5"/>
  <c r="U30" i="5"/>
  <c r="AA30" i="5"/>
  <c r="T30" i="5"/>
  <c r="R30" i="5"/>
  <c r="Q30" i="5"/>
  <c r="P30" i="5"/>
  <c r="O30" i="5"/>
  <c r="N30" i="5"/>
  <c r="B30" i="5"/>
  <c r="H30" i="5"/>
  <c r="A30" i="5"/>
  <c r="A30" i="6"/>
  <c r="AC29" i="5"/>
  <c r="AB29" i="5"/>
  <c r="AA29" i="5"/>
  <c r="Z29" i="5"/>
  <c r="X29" i="5"/>
  <c r="AD29" i="5"/>
  <c r="W29" i="5"/>
  <c r="V29" i="5"/>
  <c r="U29" i="5"/>
  <c r="T29" i="5"/>
  <c r="R29" i="5"/>
  <c r="P29" i="5"/>
  <c r="O29" i="5"/>
  <c r="N29" i="5"/>
  <c r="A29" i="5"/>
  <c r="A29" i="6"/>
  <c r="AD28" i="5"/>
  <c r="AC28" i="5"/>
  <c r="AB28" i="5"/>
  <c r="Z28" i="5"/>
  <c r="X28" i="5"/>
  <c r="W28" i="5"/>
  <c r="V28" i="5"/>
  <c r="U28" i="5"/>
  <c r="AA28" i="5"/>
  <c r="T28" i="5"/>
  <c r="R28" i="5"/>
  <c r="Q28" i="5"/>
  <c r="P28" i="5"/>
  <c r="O28" i="5"/>
  <c r="N28" i="5"/>
  <c r="A28" i="5"/>
  <c r="A28" i="6"/>
  <c r="AD27" i="5"/>
  <c r="X27" i="5"/>
  <c r="W27" i="5"/>
  <c r="AC27" i="5"/>
  <c r="V27" i="5"/>
  <c r="AB27" i="5"/>
  <c r="U27" i="5"/>
  <c r="AA27" i="5"/>
  <c r="T27" i="5"/>
  <c r="Z27" i="5"/>
  <c r="R27" i="5"/>
  <c r="Q27" i="5"/>
  <c r="P27" i="5"/>
  <c r="O27" i="5"/>
  <c r="N27" i="5"/>
  <c r="A27" i="5"/>
  <c r="A27" i="6"/>
  <c r="AD26" i="5"/>
  <c r="Z26" i="5"/>
  <c r="X26" i="5"/>
  <c r="W26" i="5"/>
  <c r="AC26" i="5"/>
  <c r="V26" i="5"/>
  <c r="AB26" i="5"/>
  <c r="U26" i="5"/>
  <c r="AA26" i="5"/>
  <c r="T26" i="5"/>
  <c r="R26" i="5"/>
  <c r="Q26" i="5"/>
  <c r="P26" i="5"/>
  <c r="O26" i="5"/>
  <c r="N26" i="5"/>
  <c r="A26" i="5"/>
  <c r="A26" i="6"/>
  <c r="AB25" i="5"/>
  <c r="AA25" i="5"/>
  <c r="Z25" i="5"/>
  <c r="X25" i="5"/>
  <c r="AD25" i="5"/>
  <c r="W25" i="5"/>
  <c r="AC25" i="5"/>
  <c r="V25" i="5"/>
  <c r="U25" i="5"/>
  <c r="T25" i="5"/>
  <c r="R25" i="5"/>
  <c r="Q25" i="5"/>
  <c r="P25" i="5"/>
  <c r="O25" i="5"/>
  <c r="N25" i="5"/>
  <c r="A25" i="5"/>
  <c r="A25" i="6"/>
  <c r="AC24" i="5"/>
  <c r="AB24" i="5"/>
  <c r="X24" i="5"/>
  <c r="AD24" i="5"/>
  <c r="W24" i="5"/>
  <c r="V24" i="5"/>
  <c r="U24" i="5"/>
  <c r="AA24" i="5"/>
  <c r="T24" i="5"/>
  <c r="Z24" i="5"/>
  <c r="R24" i="5"/>
  <c r="Q24" i="5"/>
  <c r="P24" i="5"/>
  <c r="O24" i="5"/>
  <c r="N24" i="5"/>
  <c r="A24" i="5"/>
  <c r="A24" i="6"/>
  <c r="AD23" i="5"/>
  <c r="AB23" i="5"/>
  <c r="X23" i="5"/>
  <c r="W23" i="5"/>
  <c r="AC23" i="5"/>
  <c r="V23" i="5"/>
  <c r="U23" i="5"/>
  <c r="AA23" i="5"/>
  <c r="T23" i="5"/>
  <c r="Z23" i="5"/>
  <c r="R23" i="5"/>
  <c r="Q23" i="5"/>
  <c r="P23" i="5"/>
  <c r="O23" i="5"/>
  <c r="N23" i="5"/>
  <c r="A23" i="5"/>
  <c r="A23" i="6"/>
  <c r="Z22" i="5"/>
  <c r="X22" i="5"/>
  <c r="AD22" i="5"/>
  <c r="W22" i="5"/>
  <c r="AC22" i="5"/>
  <c r="V22" i="5"/>
  <c r="AB22" i="5"/>
  <c r="U22" i="5"/>
  <c r="AA22" i="5"/>
  <c r="T22" i="5"/>
  <c r="R22" i="5"/>
  <c r="Q22" i="5"/>
  <c r="P22" i="5"/>
  <c r="O22" i="5"/>
  <c r="N22" i="5"/>
  <c r="A22" i="5"/>
  <c r="A22" i="6"/>
  <c r="AA21" i="5"/>
  <c r="Z21" i="5"/>
  <c r="X21" i="5"/>
  <c r="AD21" i="5"/>
  <c r="W21" i="5"/>
  <c r="AC21" i="5"/>
  <c r="V21" i="5"/>
  <c r="AB21" i="5"/>
  <c r="U21" i="5"/>
  <c r="T21" i="5"/>
  <c r="R21" i="5"/>
  <c r="Q21" i="5"/>
  <c r="P21" i="5"/>
  <c r="O21" i="5"/>
  <c r="N21" i="5"/>
  <c r="A21" i="5"/>
  <c r="A21" i="6"/>
  <c r="AD20" i="5"/>
  <c r="AC20" i="5"/>
  <c r="AB20" i="5"/>
  <c r="AA20" i="5"/>
  <c r="Z20" i="5"/>
  <c r="X20" i="5"/>
  <c r="W20" i="5"/>
  <c r="V20" i="5"/>
  <c r="U20" i="5"/>
  <c r="T20" i="5"/>
  <c r="R20" i="5"/>
  <c r="Q20" i="5"/>
  <c r="P20" i="5"/>
  <c r="O20" i="5"/>
  <c r="N20" i="5"/>
  <c r="A20" i="5"/>
  <c r="A20" i="6"/>
  <c r="AD19" i="5"/>
  <c r="X19" i="5"/>
  <c r="W19" i="5"/>
  <c r="AC19" i="5"/>
  <c r="V19" i="5"/>
  <c r="AB19" i="5"/>
  <c r="U19" i="5"/>
  <c r="AA19" i="5"/>
  <c r="T19" i="5"/>
  <c r="Z19" i="5"/>
  <c r="R19" i="5"/>
  <c r="Q19" i="5"/>
  <c r="P19" i="5"/>
  <c r="O19" i="5"/>
  <c r="N19" i="5"/>
  <c r="A19" i="5"/>
  <c r="A19" i="6"/>
  <c r="AD18" i="5"/>
  <c r="X18" i="5"/>
  <c r="W18" i="5"/>
  <c r="AC18" i="5"/>
  <c r="V18" i="5"/>
  <c r="AB18" i="5"/>
  <c r="U18" i="5"/>
  <c r="AA18" i="5"/>
  <c r="T18" i="5"/>
  <c r="Z18" i="5"/>
  <c r="R18" i="5"/>
  <c r="Q18" i="5"/>
  <c r="P18" i="5"/>
  <c r="O18" i="5"/>
  <c r="N18" i="5"/>
  <c r="A18" i="5"/>
  <c r="A18" i="6"/>
  <c r="AA17" i="5"/>
  <c r="Z17" i="5"/>
  <c r="X17" i="5"/>
  <c r="AD17" i="5"/>
  <c r="W17" i="5"/>
  <c r="AC17" i="5"/>
  <c r="V17" i="5"/>
  <c r="AB17" i="5"/>
  <c r="U17" i="5"/>
  <c r="T17" i="5"/>
  <c r="R17" i="5"/>
  <c r="Q17" i="5"/>
  <c r="P17" i="5"/>
  <c r="O17" i="5"/>
  <c r="N17" i="5"/>
  <c r="A17" i="5"/>
  <c r="A17" i="6"/>
  <c r="AC16" i="5"/>
  <c r="AB16" i="5"/>
  <c r="X16" i="5"/>
  <c r="AD16" i="5"/>
  <c r="W16" i="5"/>
  <c r="V16" i="5"/>
  <c r="U16" i="5"/>
  <c r="AA16" i="5"/>
  <c r="T16" i="5"/>
  <c r="Z16" i="5"/>
  <c r="R16" i="5"/>
  <c r="Q16" i="5"/>
  <c r="P16" i="5"/>
  <c r="O16" i="5"/>
  <c r="N16" i="5"/>
  <c r="A16" i="5"/>
  <c r="A16" i="6"/>
  <c r="AD15" i="5"/>
  <c r="AB15" i="5"/>
  <c r="X15" i="5"/>
  <c r="W15" i="5"/>
  <c r="AC15" i="5"/>
  <c r="V15" i="5"/>
  <c r="U15" i="5"/>
  <c r="AA15" i="5"/>
  <c r="T15" i="5"/>
  <c r="Z15" i="5"/>
  <c r="R15" i="5"/>
  <c r="Q15" i="5"/>
  <c r="P15" i="5"/>
  <c r="O15" i="5"/>
  <c r="N15" i="5"/>
  <c r="A15" i="5"/>
  <c r="A15" i="6"/>
  <c r="X14" i="5"/>
  <c r="AD14" i="5"/>
  <c r="W14" i="5"/>
  <c r="AC14" i="5"/>
  <c r="V14" i="5"/>
  <c r="AB14" i="5"/>
  <c r="U14" i="5"/>
  <c r="AA14" i="5"/>
  <c r="T14" i="5"/>
  <c r="Z14" i="5"/>
  <c r="R14" i="5"/>
  <c r="Q14" i="5"/>
  <c r="P14" i="5"/>
  <c r="O14" i="5"/>
  <c r="N14" i="5"/>
  <c r="B14" i="5"/>
  <c r="H14" i="5"/>
  <c r="A14" i="5"/>
  <c r="A14" i="6"/>
  <c r="AA13" i="5"/>
  <c r="Z13" i="5"/>
  <c r="X13" i="5"/>
  <c r="AD13" i="5"/>
  <c r="W13" i="5"/>
  <c r="AC13" i="5"/>
  <c r="V13" i="5"/>
  <c r="AB13" i="5"/>
  <c r="U13" i="5"/>
  <c r="T13" i="5"/>
  <c r="R13" i="5"/>
  <c r="Q13" i="5"/>
  <c r="P13" i="5"/>
  <c r="O13" i="5"/>
  <c r="N13" i="5"/>
  <c r="A13" i="5"/>
  <c r="A13" i="6"/>
  <c r="AC12" i="5"/>
  <c r="AB12" i="5"/>
  <c r="Z12" i="5"/>
  <c r="X12" i="5"/>
  <c r="AD12" i="5"/>
  <c r="W12" i="5"/>
  <c r="V12" i="5"/>
  <c r="U12" i="5"/>
  <c r="AA12" i="5"/>
  <c r="T12" i="5"/>
  <c r="R12" i="5"/>
  <c r="Q12" i="5"/>
  <c r="P12" i="5"/>
  <c r="O12" i="5"/>
  <c r="N12" i="5"/>
  <c r="A12" i="5"/>
  <c r="A12" i="6"/>
  <c r="AD11" i="5"/>
  <c r="AC11" i="5"/>
  <c r="X11" i="5"/>
  <c r="W11" i="5"/>
  <c r="V11" i="5"/>
  <c r="AB11" i="5"/>
  <c r="U11" i="5"/>
  <c r="AA11" i="5"/>
  <c r="T11" i="5"/>
  <c r="Z11" i="5"/>
  <c r="R11" i="5"/>
  <c r="Q11" i="5"/>
  <c r="P11" i="5"/>
  <c r="O11" i="5"/>
  <c r="N11" i="5"/>
  <c r="A11" i="5"/>
  <c r="A11" i="6"/>
  <c r="AD10" i="5"/>
  <c r="X10" i="5"/>
  <c r="W10" i="5"/>
  <c r="AC10" i="5"/>
  <c r="V10" i="5"/>
  <c r="AB10" i="5"/>
  <c r="U10" i="5"/>
  <c r="AA10" i="5"/>
  <c r="T10" i="5"/>
  <c r="Z10" i="5"/>
  <c r="R10" i="5"/>
  <c r="Q10" i="5"/>
  <c r="P10" i="5"/>
  <c r="O10" i="5"/>
  <c r="N10" i="5"/>
  <c r="A10" i="5"/>
  <c r="A10" i="6"/>
  <c r="AA9" i="5"/>
  <c r="Z9" i="5"/>
  <c r="X9" i="5"/>
  <c r="AD9" i="5"/>
  <c r="W9" i="5"/>
  <c r="AC9" i="5"/>
  <c r="V9" i="5"/>
  <c r="AB9" i="5"/>
  <c r="U9" i="5"/>
  <c r="T9" i="5"/>
  <c r="R9" i="5"/>
  <c r="Q9" i="5"/>
  <c r="P9" i="5"/>
  <c r="O9" i="5"/>
  <c r="N9" i="5"/>
  <c r="A9" i="5"/>
  <c r="A9" i="6"/>
  <c r="AC8" i="5"/>
  <c r="AB8" i="5"/>
  <c r="AA8" i="5"/>
  <c r="X8" i="5"/>
  <c r="AD8" i="5"/>
  <c r="W8" i="5"/>
  <c r="V8" i="5"/>
  <c r="U8" i="5"/>
  <c r="T8" i="5"/>
  <c r="Z8" i="5"/>
  <c r="R8" i="5"/>
  <c r="Q8" i="5"/>
  <c r="P8" i="5"/>
  <c r="O8" i="5"/>
  <c r="N8" i="5"/>
  <c r="A8" i="5"/>
  <c r="A8" i="6"/>
  <c r="AD7" i="5"/>
  <c r="AC7" i="5"/>
  <c r="AB7" i="5"/>
  <c r="X7" i="5"/>
  <c r="W7" i="5"/>
  <c r="V7" i="5"/>
  <c r="U7" i="5"/>
  <c r="AA7" i="5"/>
  <c r="T7" i="5"/>
  <c r="Z7" i="5"/>
  <c r="R7" i="5"/>
  <c r="Q7" i="5"/>
  <c r="P7" i="5"/>
  <c r="O7" i="5"/>
  <c r="N7" i="5"/>
  <c r="A7" i="5"/>
  <c r="A7" i="6"/>
  <c r="X6" i="5"/>
  <c r="AD6" i="5"/>
  <c r="W6" i="5"/>
  <c r="AC6" i="5"/>
  <c r="V6" i="5"/>
  <c r="AB6" i="5"/>
  <c r="U6" i="5"/>
  <c r="AA6" i="5"/>
  <c r="T6" i="5"/>
  <c r="Z6" i="5"/>
  <c r="R6" i="5"/>
  <c r="Q6" i="5"/>
  <c r="P6" i="5"/>
  <c r="O6" i="5"/>
  <c r="N6" i="5"/>
  <c r="B6" i="5"/>
  <c r="F6" i="21"/>
  <c r="A6" i="5"/>
  <c r="A6" i="6"/>
  <c r="AC5" i="5"/>
  <c r="AA5" i="5"/>
  <c r="Z5" i="5"/>
  <c r="X5" i="5"/>
  <c r="AD5" i="5"/>
  <c r="AD36" i="5"/>
  <c r="W5" i="5"/>
  <c r="W36" i="5"/>
  <c r="V5" i="5"/>
  <c r="V36" i="5"/>
  <c r="U5" i="5"/>
  <c r="U36" i="5"/>
  <c r="T5" i="5"/>
  <c r="T36" i="5"/>
  <c r="B14" i="2"/>
  <c r="R5" i="5"/>
  <c r="R36" i="5"/>
  <c r="Q5" i="5"/>
  <c r="P5" i="5"/>
  <c r="P36" i="5"/>
  <c r="O5" i="5"/>
  <c r="O36" i="5"/>
  <c r="N5" i="5"/>
  <c r="N36" i="5"/>
  <c r="A5" i="5"/>
  <c r="A5" i="6"/>
  <c r="R3" i="5"/>
  <c r="F3" i="6"/>
  <c r="F74" i="6"/>
  <c r="Q3" i="5"/>
  <c r="E3" i="6"/>
  <c r="E74" i="6"/>
  <c r="L3" i="5"/>
  <c r="L77" i="5"/>
  <c r="R77" i="5"/>
  <c r="K3" i="5"/>
  <c r="K77" i="5"/>
  <c r="Q77" i="5"/>
  <c r="J3" i="5"/>
  <c r="J77" i="5"/>
  <c r="P77" i="5"/>
  <c r="I3" i="5"/>
  <c r="I77" i="5"/>
  <c r="O77" i="5"/>
  <c r="H3" i="5"/>
  <c r="H77" i="5"/>
  <c r="N77" i="5"/>
  <c r="F3" i="5"/>
  <c r="F77" i="5"/>
  <c r="E3" i="5"/>
  <c r="E77" i="5"/>
  <c r="D3" i="5"/>
  <c r="D77" i="5"/>
  <c r="C3" i="5"/>
  <c r="C77" i="5"/>
  <c r="B3" i="5"/>
  <c r="B77" i="5"/>
  <c r="D6" i="4"/>
  <c r="D5" i="4"/>
  <c r="D4" i="4"/>
  <c r="D3" i="4"/>
  <c r="D2" i="4"/>
  <c r="F74" i="3"/>
  <c r="I72" i="3"/>
  <c r="J69" i="3"/>
  <c r="AC15" i="21"/>
  <c r="I69" i="3"/>
  <c r="W15" i="21"/>
  <c r="H69" i="3"/>
  <c r="Q15" i="21"/>
  <c r="G69" i="3"/>
  <c r="K15" i="21"/>
  <c r="F69" i="3"/>
  <c r="E15" i="21"/>
  <c r="J61" i="3"/>
  <c r="AC14" i="21"/>
  <c r="I61" i="3"/>
  <c r="W14" i="21"/>
  <c r="H61" i="3"/>
  <c r="Q14" i="21"/>
  <c r="G61" i="3"/>
  <c r="K14" i="21"/>
  <c r="F61" i="3"/>
  <c r="E14" i="21"/>
  <c r="D60" i="3"/>
  <c r="D59" i="3"/>
  <c r="D58" i="3"/>
  <c r="D57" i="3"/>
  <c r="D56" i="3"/>
  <c r="D55" i="3"/>
  <c r="J53" i="3"/>
  <c r="AC16" i="21"/>
  <c r="I53" i="3"/>
  <c r="W16" i="21"/>
  <c r="H53" i="3"/>
  <c r="Q16" i="21"/>
  <c r="G53" i="3"/>
  <c r="K16" i="21"/>
  <c r="F53" i="3"/>
  <c r="E16" i="21"/>
  <c r="J45" i="3"/>
  <c r="AC17" i="21"/>
  <c r="I45" i="3"/>
  <c r="W17" i="21"/>
  <c r="H45" i="3"/>
  <c r="Q17" i="21"/>
  <c r="G45" i="3"/>
  <c r="K17" i="21"/>
  <c r="F45" i="3"/>
  <c r="E17" i="21"/>
  <c r="J36" i="3"/>
  <c r="I36" i="3"/>
  <c r="H36" i="3"/>
  <c r="G36" i="3"/>
  <c r="F36" i="3"/>
  <c r="D35" i="3"/>
  <c r="D34" i="3"/>
  <c r="D33" i="3"/>
  <c r="B33" i="5"/>
  <c r="H33" i="5"/>
  <c r="D32" i="3"/>
  <c r="H35" i="6"/>
  <c r="D31" i="3"/>
  <c r="H34" i="6"/>
  <c r="D30" i="3"/>
  <c r="H33" i="6"/>
  <c r="D29" i="3"/>
  <c r="H32" i="6"/>
  <c r="D28" i="3"/>
  <c r="H31" i="6"/>
  <c r="D27" i="3"/>
  <c r="H30" i="6"/>
  <c r="D26" i="3"/>
  <c r="H29" i="6"/>
  <c r="D25" i="3"/>
  <c r="H28" i="6"/>
  <c r="D24" i="3"/>
  <c r="H27" i="6"/>
  <c r="D23" i="3"/>
  <c r="H26" i="6"/>
  <c r="D22" i="3"/>
  <c r="H25" i="6"/>
  <c r="D21" i="3"/>
  <c r="H24" i="6"/>
  <c r="D20" i="3"/>
  <c r="D19" i="3"/>
  <c r="H22" i="6"/>
  <c r="D18" i="3"/>
  <c r="H21" i="6"/>
  <c r="D17" i="3"/>
  <c r="H20" i="6"/>
  <c r="D16" i="3"/>
  <c r="H19" i="6"/>
  <c r="D57" i="2"/>
  <c r="C57" i="2"/>
  <c r="A55" i="2"/>
  <c r="A54" i="2"/>
  <c r="G53" i="2"/>
  <c r="F53" i="2"/>
  <c r="F54" i="2"/>
  <c r="T47" i="2"/>
  <c r="S47" i="2"/>
  <c r="R47" i="2"/>
  <c r="Q47" i="2"/>
  <c r="P47" i="2"/>
  <c r="O47" i="2"/>
  <c r="N47" i="2"/>
  <c r="M47" i="2"/>
  <c r="L47" i="2"/>
  <c r="K47" i="2"/>
  <c r="J47" i="2"/>
  <c r="I47" i="2"/>
  <c r="F47" i="2"/>
  <c r="E47" i="2"/>
  <c r="D47" i="2"/>
  <c r="C47" i="2"/>
  <c r="B47" i="2"/>
  <c r="F42" i="2"/>
  <c r="E42" i="2"/>
  <c r="D42" i="2"/>
  <c r="C42" i="2"/>
  <c r="B42" i="2"/>
  <c r="G41" i="2"/>
  <c r="G40" i="2"/>
  <c r="G42" i="2"/>
  <c r="Q37" i="2"/>
  <c r="O37" i="2"/>
  <c r="M37" i="2"/>
  <c r="K37" i="2"/>
  <c r="I37" i="2"/>
  <c r="Q36" i="2"/>
  <c r="O36" i="2"/>
  <c r="M36" i="2"/>
  <c r="K36" i="2"/>
  <c r="I36" i="2"/>
  <c r="E36" i="2"/>
  <c r="C36" i="2"/>
  <c r="Q35" i="2"/>
  <c r="S35" i="2"/>
  <c r="O35" i="2"/>
  <c r="M35" i="2"/>
  <c r="K35" i="2"/>
  <c r="I35" i="2"/>
  <c r="F35" i="2"/>
  <c r="R35" i="2"/>
  <c r="C35" i="2"/>
  <c r="L35" i="2"/>
  <c r="B35" i="2"/>
  <c r="J35" i="2"/>
  <c r="R34" i="2"/>
  <c r="Q34" i="2"/>
  <c r="S34" i="2"/>
  <c r="O34" i="2"/>
  <c r="M34" i="2"/>
  <c r="K34" i="2"/>
  <c r="I34" i="2"/>
  <c r="F34" i="2"/>
  <c r="C34" i="2"/>
  <c r="L34" i="2"/>
  <c r="B34" i="2"/>
  <c r="J34" i="2"/>
  <c r="Q33" i="2"/>
  <c r="S33" i="2"/>
  <c r="O33" i="2"/>
  <c r="M33" i="2"/>
  <c r="K33" i="2"/>
  <c r="I33" i="2"/>
  <c r="F33" i="2"/>
  <c r="R33" i="2"/>
  <c r="B33" i="2"/>
  <c r="J33" i="2"/>
  <c r="Q32" i="2"/>
  <c r="S32" i="2"/>
  <c r="O32" i="2"/>
  <c r="M32" i="2"/>
  <c r="K32" i="2"/>
  <c r="I32" i="2"/>
  <c r="D32" i="2"/>
  <c r="N32" i="2"/>
  <c r="Q31" i="2"/>
  <c r="O31" i="2"/>
  <c r="M31" i="2"/>
  <c r="K31" i="2"/>
  <c r="I31" i="2"/>
  <c r="Q30" i="2"/>
  <c r="O30" i="2"/>
  <c r="M30" i="2"/>
  <c r="K30" i="2"/>
  <c r="I30" i="2"/>
  <c r="F30" i="2"/>
  <c r="Q27" i="2"/>
  <c r="O27" i="2"/>
  <c r="M27" i="2"/>
  <c r="K27" i="2"/>
  <c r="I27" i="2"/>
  <c r="E24" i="2"/>
  <c r="Q19" i="2"/>
  <c r="O19" i="2"/>
  <c r="M19" i="2"/>
  <c r="K19" i="2"/>
  <c r="I19" i="2"/>
  <c r="F18" i="2"/>
  <c r="D18" i="2"/>
  <c r="C18" i="2"/>
  <c r="B18" i="2"/>
  <c r="D16" i="2"/>
  <c r="B16" i="2"/>
  <c r="C15" i="2"/>
  <c r="B7" i="2"/>
  <c r="E6" i="2"/>
  <c r="C6" i="2"/>
  <c r="B11" i="2"/>
  <c r="C11" i="2"/>
  <c r="B5" i="2"/>
  <c r="B4" i="2"/>
  <c r="B3" i="2"/>
  <c r="B2" i="2"/>
  <c r="F55" i="1"/>
  <c r="B54" i="1"/>
  <c r="F35" i="1"/>
  <c r="C35" i="1"/>
  <c r="B35" i="1"/>
  <c r="D33" i="1"/>
  <c r="B10" i="1"/>
  <c r="I55" i="8"/>
  <c r="H55" i="8"/>
  <c r="G55" i="8"/>
  <c r="F55" i="8"/>
  <c r="E55" i="8"/>
  <c r="I54" i="8"/>
  <c r="H54" i="8"/>
  <c r="G54" i="8"/>
  <c r="F54" i="8"/>
  <c r="E54" i="8"/>
  <c r="I53" i="8"/>
  <c r="H53" i="8"/>
  <c r="G53" i="8"/>
  <c r="F53" i="8"/>
  <c r="E53" i="8"/>
  <c r="I52" i="8"/>
  <c r="H52" i="8"/>
  <c r="G52" i="8"/>
  <c r="F52" i="8"/>
  <c r="E52" i="8"/>
  <c r="I51" i="8"/>
  <c r="I19" i="8"/>
  <c r="F31" i="2"/>
  <c r="R31" i="2"/>
  <c r="H51" i="8"/>
  <c r="G51" i="8"/>
  <c r="F51" i="8"/>
  <c r="E51" i="8"/>
  <c r="I50" i="8"/>
  <c r="H50" i="8"/>
  <c r="G50" i="8"/>
  <c r="F50" i="8"/>
  <c r="E50" i="8"/>
  <c r="I49" i="8"/>
  <c r="H49" i="8"/>
  <c r="G49" i="8"/>
  <c r="F49" i="8"/>
  <c r="E49" i="8"/>
  <c r="I48" i="8"/>
  <c r="H48" i="8"/>
  <c r="H19" i="8"/>
  <c r="E31" i="2"/>
  <c r="P31" i="2"/>
  <c r="G48" i="8"/>
  <c r="F48" i="8"/>
  <c r="E48" i="8"/>
  <c r="I47" i="8"/>
  <c r="H47" i="8"/>
  <c r="G47" i="8"/>
  <c r="F47" i="8"/>
  <c r="E47" i="8"/>
  <c r="I46" i="8"/>
  <c r="H46" i="8"/>
  <c r="G46" i="8"/>
  <c r="F46" i="8"/>
  <c r="E46" i="8"/>
  <c r="I45" i="8"/>
  <c r="H45" i="8"/>
  <c r="G45" i="8"/>
  <c r="G19" i="8"/>
  <c r="D31" i="2"/>
  <c r="N31" i="2"/>
  <c r="F45" i="8"/>
  <c r="E45" i="8"/>
  <c r="I43" i="8"/>
  <c r="H43" i="8"/>
  <c r="G43" i="8"/>
  <c r="F43" i="8"/>
  <c r="E43" i="8"/>
  <c r="I42" i="8"/>
  <c r="H42" i="8"/>
  <c r="G42" i="8"/>
  <c r="F42" i="8"/>
  <c r="E42" i="8"/>
  <c r="I41" i="8"/>
  <c r="H41" i="8"/>
  <c r="G41" i="8"/>
  <c r="F41" i="8"/>
  <c r="E41" i="8"/>
  <c r="I40" i="8"/>
  <c r="H40" i="8"/>
  <c r="G40" i="8"/>
  <c r="F40" i="8"/>
  <c r="E40" i="8"/>
  <c r="I39" i="8"/>
  <c r="H39" i="8"/>
  <c r="G39" i="8"/>
  <c r="F39" i="8"/>
  <c r="E39" i="8"/>
  <c r="I38" i="8"/>
  <c r="H38" i="8"/>
  <c r="G38" i="8"/>
  <c r="F38" i="8"/>
  <c r="E38" i="8"/>
  <c r="I37" i="8"/>
  <c r="H37" i="8"/>
  <c r="G37" i="8"/>
  <c r="F37" i="8"/>
  <c r="E37" i="8"/>
  <c r="I36" i="8"/>
  <c r="H36" i="8"/>
  <c r="G36" i="8"/>
  <c r="F36" i="8"/>
  <c r="E36" i="8"/>
  <c r="I35" i="8"/>
  <c r="H35" i="8"/>
  <c r="G35" i="8"/>
  <c r="F35" i="8"/>
  <c r="E35" i="8"/>
  <c r="I34" i="8"/>
  <c r="I18" i="8"/>
  <c r="H34" i="8"/>
  <c r="G34" i="8"/>
  <c r="F34" i="8"/>
  <c r="E34" i="8"/>
  <c r="I33" i="8"/>
  <c r="H33" i="8"/>
  <c r="G33" i="8"/>
  <c r="G18" i="8"/>
  <c r="F33" i="8"/>
  <c r="E33" i="8"/>
  <c r="I31" i="8"/>
  <c r="H31" i="8"/>
  <c r="G31" i="8"/>
  <c r="F31" i="8"/>
  <c r="E31" i="8"/>
  <c r="I30" i="8"/>
  <c r="H30" i="8"/>
  <c r="H16" i="8"/>
  <c r="G30" i="8"/>
  <c r="F30" i="8"/>
  <c r="E30" i="8"/>
  <c r="I29" i="8"/>
  <c r="H29" i="8"/>
  <c r="G29" i="8"/>
  <c r="F29" i="8"/>
  <c r="E29" i="8"/>
  <c r="I28" i="8"/>
  <c r="H28" i="8"/>
  <c r="G28" i="8"/>
  <c r="F28" i="8"/>
  <c r="E28" i="8"/>
  <c r="I27" i="8"/>
  <c r="H27" i="8"/>
  <c r="G27" i="8"/>
  <c r="G16" i="8"/>
  <c r="F27" i="8"/>
  <c r="E27" i="8"/>
  <c r="I26" i="8"/>
  <c r="H26" i="8"/>
  <c r="G26" i="8"/>
  <c r="F26" i="8"/>
  <c r="E26" i="8"/>
  <c r="I25" i="8"/>
  <c r="H25" i="8"/>
  <c r="G25" i="8"/>
  <c r="F25" i="8"/>
  <c r="E25" i="8"/>
  <c r="I24" i="8"/>
  <c r="H24" i="8"/>
  <c r="G24" i="8"/>
  <c r="F24" i="8"/>
  <c r="F16" i="8"/>
  <c r="E24" i="8"/>
  <c r="I23" i="8"/>
  <c r="H23" i="8"/>
  <c r="G23" i="8"/>
  <c r="F23" i="8"/>
  <c r="E23" i="8"/>
  <c r="I22" i="8"/>
  <c r="H22" i="8"/>
  <c r="G22" i="8"/>
  <c r="F22" i="8"/>
  <c r="E22" i="8"/>
  <c r="I21" i="8"/>
  <c r="H21" i="8"/>
  <c r="G21" i="8"/>
  <c r="F21" i="8"/>
  <c r="E21" i="8"/>
  <c r="E16" i="8"/>
  <c r="F19" i="8"/>
  <c r="C31" i="2"/>
  <c r="L31" i="2"/>
  <c r="H18" i="8"/>
  <c r="I16" i="8"/>
  <c r="R14" i="8"/>
  <c r="R13" i="8"/>
  <c r="R12" i="8"/>
  <c r="R11" i="8"/>
  <c r="R10" i="8"/>
  <c r="R9" i="8"/>
  <c r="R8" i="8"/>
  <c r="R7" i="8"/>
  <c r="R6" i="8"/>
  <c r="R5" i="8"/>
  <c r="R4" i="8"/>
  <c r="R16" i="8"/>
  <c r="R36" i="2"/>
  <c r="P36" i="2"/>
  <c r="O38" i="2"/>
  <c r="O39" i="2"/>
  <c r="O48" i="2"/>
  <c r="E48" i="2"/>
  <c r="G26" i="14"/>
  <c r="B38" i="1"/>
  <c r="B37" i="2"/>
  <c r="J37" i="2"/>
  <c r="C37" i="2"/>
  <c r="L37" i="2"/>
  <c r="C38" i="1"/>
  <c r="S37" i="2"/>
  <c r="G26" i="13"/>
  <c r="D40" i="13"/>
  <c r="I4" i="13"/>
  <c r="F26" i="13"/>
  <c r="H40" i="13"/>
  <c r="H26" i="13"/>
  <c r="I3" i="13"/>
  <c r="M38" i="2"/>
  <c r="M39" i="2"/>
  <c r="M44" i="2"/>
  <c r="M45" i="2"/>
  <c r="S36" i="2"/>
  <c r="J36" i="2"/>
  <c r="L36" i="2"/>
  <c r="F26" i="12"/>
  <c r="D36" i="1"/>
  <c r="E18" i="8"/>
  <c r="H36" i="21"/>
  <c r="F18" i="8"/>
  <c r="N36" i="21"/>
  <c r="E19" i="8"/>
  <c r="B31" i="2"/>
  <c r="G31" i="2"/>
  <c r="K38" i="2"/>
  <c r="K39" i="2"/>
  <c r="K44" i="2"/>
  <c r="K45" i="2"/>
  <c r="S31" i="2"/>
  <c r="I38" i="2"/>
  <c r="I39" i="2"/>
  <c r="I44" i="2"/>
  <c r="I45" i="2"/>
  <c r="E26" i="7"/>
  <c r="C29" i="1"/>
  <c r="S30" i="2"/>
  <c r="D40" i="7"/>
  <c r="B30" i="2"/>
  <c r="J30" i="2"/>
  <c r="F26" i="7"/>
  <c r="T31" i="21"/>
  <c r="N55" i="5"/>
  <c r="N61" i="5"/>
  <c r="B105" i="5"/>
  <c r="B17" i="2"/>
  <c r="C105" i="5"/>
  <c r="C17" i="2"/>
  <c r="S27" i="2"/>
  <c r="E105" i="5"/>
  <c r="E17" i="2"/>
  <c r="S19" i="2"/>
  <c r="E40" i="13"/>
  <c r="G47" i="2"/>
  <c r="B23" i="17"/>
  <c r="AD23" i="17"/>
  <c r="E30" i="22"/>
  <c r="H17" i="8"/>
  <c r="AA36" i="5"/>
  <c r="AC36" i="5"/>
  <c r="E30" i="1"/>
  <c r="R71" i="5"/>
  <c r="B12" i="2"/>
  <c r="D11" i="2"/>
  <c r="Q36" i="5"/>
  <c r="AC23" i="17"/>
  <c r="D30" i="22"/>
  <c r="G17" i="8"/>
  <c r="D30" i="1"/>
  <c r="AE25" i="17"/>
  <c r="AF36" i="21"/>
  <c r="F32" i="22"/>
  <c r="F32" i="1"/>
  <c r="I17" i="8"/>
  <c r="O25" i="17"/>
  <c r="C32" i="1"/>
  <c r="Z36" i="5"/>
  <c r="O23" i="17"/>
  <c r="C30" i="22"/>
  <c r="C30" i="1"/>
  <c r="B32" i="22"/>
  <c r="B25" i="17"/>
  <c r="B32" i="1"/>
  <c r="B58" i="5"/>
  <c r="H58" i="5"/>
  <c r="AE23" i="17"/>
  <c r="F30" i="22"/>
  <c r="C57" i="5"/>
  <c r="I57" i="5"/>
  <c r="B57" i="5"/>
  <c r="H57" i="5"/>
  <c r="H72" i="3"/>
  <c r="X3" i="5"/>
  <c r="AD3" i="5"/>
  <c r="L3" i="6"/>
  <c r="C33" i="5"/>
  <c r="I33" i="5"/>
  <c r="X36" i="5"/>
  <c r="F14" i="2"/>
  <c r="J93" i="5"/>
  <c r="D23" i="2"/>
  <c r="R89" i="5"/>
  <c r="Q89" i="5"/>
  <c r="P89" i="5"/>
  <c r="O89" i="5"/>
  <c r="N89" i="5"/>
  <c r="H89" i="5"/>
  <c r="C33" i="22"/>
  <c r="Z54" i="21"/>
  <c r="F30" i="1"/>
  <c r="B59" i="5"/>
  <c r="H59" i="5"/>
  <c r="J72" i="3"/>
  <c r="C30" i="5"/>
  <c r="I30" i="5"/>
  <c r="O61" i="5"/>
  <c r="L93" i="5"/>
  <c r="F23" i="2"/>
  <c r="R92" i="5"/>
  <c r="Q92" i="5"/>
  <c r="P92" i="5"/>
  <c r="O92" i="5"/>
  <c r="N92" i="5"/>
  <c r="H92" i="5"/>
  <c r="L30" i="2"/>
  <c r="C60" i="5"/>
  <c r="I60" i="5"/>
  <c r="B60" i="5"/>
  <c r="H60" i="5"/>
  <c r="C7" i="21"/>
  <c r="C8" i="21"/>
  <c r="C5" i="21"/>
  <c r="C6" i="21"/>
  <c r="B40" i="5"/>
  <c r="H40" i="5"/>
  <c r="B43" i="5"/>
  <c r="H43" i="5"/>
  <c r="B52" i="5"/>
  <c r="H52" i="5"/>
  <c r="B51" i="5"/>
  <c r="H51" i="5"/>
  <c r="B41" i="5"/>
  <c r="H41" i="5"/>
  <c r="B68" i="5"/>
  <c r="H68" i="5"/>
  <c r="B67" i="5"/>
  <c r="H67" i="5"/>
  <c r="B66" i="5"/>
  <c r="H66" i="5"/>
  <c r="B65" i="5"/>
  <c r="H65" i="5"/>
  <c r="B64" i="5"/>
  <c r="H64" i="5"/>
  <c r="B63" i="5"/>
  <c r="B42" i="5"/>
  <c r="H42" i="5"/>
  <c r="B11" i="5"/>
  <c r="H11" i="5"/>
  <c r="B19" i="5"/>
  <c r="H19" i="5"/>
  <c r="B27" i="5"/>
  <c r="H27" i="5"/>
  <c r="B35" i="5"/>
  <c r="H35" i="5"/>
  <c r="P45" i="5"/>
  <c r="E19" i="21"/>
  <c r="G74" i="3"/>
  <c r="C18" i="5"/>
  <c r="I18" i="5"/>
  <c r="C19" i="5"/>
  <c r="I19" i="5"/>
  <c r="C27" i="5"/>
  <c r="I27" i="5"/>
  <c r="Q45" i="5"/>
  <c r="R87" i="5"/>
  <c r="Q87" i="5"/>
  <c r="P87" i="5"/>
  <c r="O87" i="5"/>
  <c r="N87" i="5"/>
  <c r="H87" i="5"/>
  <c r="J101" i="5"/>
  <c r="J105" i="5"/>
  <c r="D25" i="2"/>
  <c r="D105" i="5"/>
  <c r="D17" i="2"/>
  <c r="K19" i="21"/>
  <c r="B8" i="5"/>
  <c r="B16" i="5"/>
  <c r="H16" i="5"/>
  <c r="B24" i="5"/>
  <c r="H24" i="5"/>
  <c r="B32" i="5"/>
  <c r="H32" i="5"/>
  <c r="R45" i="5"/>
  <c r="K105" i="5"/>
  <c r="E25" i="2"/>
  <c r="B22" i="5"/>
  <c r="H22" i="5"/>
  <c r="B19" i="19"/>
  <c r="B3" i="17"/>
  <c r="B65" i="21"/>
  <c r="B59" i="22"/>
  <c r="B29" i="19"/>
  <c r="B13" i="19"/>
  <c r="F3" i="3"/>
  <c r="Q19" i="21"/>
  <c r="H6" i="5"/>
  <c r="G6" i="21"/>
  <c r="H6" i="21"/>
  <c r="C16" i="5"/>
  <c r="I16" i="5"/>
  <c r="T45" i="5"/>
  <c r="P69" i="5"/>
  <c r="P71" i="5"/>
  <c r="R90" i="5"/>
  <c r="Q90" i="5"/>
  <c r="P90" i="5"/>
  <c r="O90" i="5"/>
  <c r="N90" i="5"/>
  <c r="H90" i="5"/>
  <c r="L105" i="5"/>
  <c r="F25" i="2"/>
  <c r="C36" i="6"/>
  <c r="AC26" i="17"/>
  <c r="D33" i="22"/>
  <c r="C69" i="6"/>
  <c r="O63" i="5"/>
  <c r="O69" i="5"/>
  <c r="C10" i="1"/>
  <c r="P30" i="2"/>
  <c r="W19" i="21"/>
  <c r="N3" i="5"/>
  <c r="B3" i="6"/>
  <c r="B5" i="5"/>
  <c r="B13" i="5"/>
  <c r="H13" i="5"/>
  <c r="B21" i="5"/>
  <c r="H21" i="5"/>
  <c r="B29" i="5"/>
  <c r="H29" i="5"/>
  <c r="B38" i="5"/>
  <c r="U45" i="5"/>
  <c r="Q71" i="5"/>
  <c r="D36" i="6"/>
  <c r="Q38" i="2"/>
  <c r="Q39" i="2"/>
  <c r="AC19" i="21"/>
  <c r="O3" i="5"/>
  <c r="C3" i="6"/>
  <c r="C29" i="5"/>
  <c r="I29" i="5"/>
  <c r="V45" i="5"/>
  <c r="E36" i="6"/>
  <c r="E71" i="6"/>
  <c r="D32" i="22"/>
  <c r="AC25" i="17"/>
  <c r="T36" i="21"/>
  <c r="R30" i="2"/>
  <c r="P3" i="5"/>
  <c r="D3" i="6"/>
  <c r="B10" i="5"/>
  <c r="H10" i="5"/>
  <c r="B18" i="5"/>
  <c r="H18" i="5"/>
  <c r="B26" i="5"/>
  <c r="H26" i="5"/>
  <c r="B34" i="5"/>
  <c r="H34" i="5"/>
  <c r="W45" i="5"/>
  <c r="F36" i="6"/>
  <c r="E32" i="22"/>
  <c r="AD25" i="17"/>
  <c r="Z36" i="21"/>
  <c r="C34" i="5"/>
  <c r="I34" i="5"/>
  <c r="X45" i="5"/>
  <c r="Z45" i="5"/>
  <c r="Q84" i="5"/>
  <c r="R88" i="5"/>
  <c r="Q88" i="5"/>
  <c r="P88" i="5"/>
  <c r="O88" i="5"/>
  <c r="N88" i="5"/>
  <c r="H88" i="5"/>
  <c r="I95" i="5"/>
  <c r="I99" i="5"/>
  <c r="C24" i="2"/>
  <c r="C99" i="5"/>
  <c r="C16" i="2"/>
  <c r="G16" i="2"/>
  <c r="Q8" i="15"/>
  <c r="G36" i="2"/>
  <c r="B7" i="5"/>
  <c r="B15" i="5"/>
  <c r="H15" i="5"/>
  <c r="B23" i="5"/>
  <c r="H23" i="5"/>
  <c r="B31" i="5"/>
  <c r="H31" i="5"/>
  <c r="I84" i="5"/>
  <c r="C22" i="2"/>
  <c r="J99" i="5"/>
  <c r="D24" i="2"/>
  <c r="H23" i="6"/>
  <c r="H36" i="6"/>
  <c r="D32" i="1"/>
  <c r="B53" i="2"/>
  <c r="C23" i="5"/>
  <c r="I23" i="5"/>
  <c r="C31" i="5"/>
  <c r="I31" i="5"/>
  <c r="I38" i="6"/>
  <c r="I45" i="6"/>
  <c r="AA45" i="5"/>
  <c r="R91" i="5"/>
  <c r="Q91" i="5"/>
  <c r="P91" i="5"/>
  <c r="O91" i="5"/>
  <c r="N91" i="5"/>
  <c r="H91" i="5"/>
  <c r="E112" i="6"/>
  <c r="E32" i="1"/>
  <c r="AB5" i="5"/>
  <c r="AB36" i="5"/>
  <c r="D22" i="2"/>
  <c r="B12" i="5"/>
  <c r="H12" i="5"/>
  <c r="B20" i="5"/>
  <c r="H20" i="5"/>
  <c r="B28" i="5"/>
  <c r="H28" i="5"/>
  <c r="J38" i="6"/>
  <c r="J45" i="6"/>
  <c r="AB45" i="5"/>
  <c r="B44" i="5"/>
  <c r="H44" i="5"/>
  <c r="N53" i="5"/>
  <c r="K84" i="5"/>
  <c r="E22" i="2"/>
  <c r="L99" i="5"/>
  <c r="F24" i="2"/>
  <c r="K36" i="6"/>
  <c r="D26" i="10"/>
  <c r="F55" i="5"/>
  <c r="E55" i="5"/>
  <c r="D55" i="5"/>
  <c r="C55" i="5"/>
  <c r="B55" i="5"/>
  <c r="F72" i="3"/>
  <c r="C20" i="5"/>
  <c r="I20" i="5"/>
  <c r="C28" i="5"/>
  <c r="I28" i="5"/>
  <c r="K38" i="6"/>
  <c r="K45" i="6"/>
  <c r="AC45" i="5"/>
  <c r="L84" i="5"/>
  <c r="F22" i="2"/>
  <c r="R86" i="5"/>
  <c r="Q86" i="5"/>
  <c r="Q93" i="5"/>
  <c r="P86" i="5"/>
  <c r="O86" i="5"/>
  <c r="N86" i="5"/>
  <c r="H86" i="5"/>
  <c r="B93" i="5"/>
  <c r="B15" i="2"/>
  <c r="E111" i="5"/>
  <c r="B71" i="6"/>
  <c r="AE26" i="17"/>
  <c r="C56" i="5"/>
  <c r="I56" i="5"/>
  <c r="B56" i="5"/>
  <c r="H56" i="5"/>
  <c r="G72" i="3"/>
  <c r="W3" i="5"/>
  <c r="AC3" i="5"/>
  <c r="K3" i="6"/>
  <c r="B9" i="5"/>
  <c r="H9" i="5"/>
  <c r="B17" i="5"/>
  <c r="H17" i="5"/>
  <c r="B25" i="5"/>
  <c r="H25" i="5"/>
  <c r="AD38" i="5"/>
  <c r="I93" i="5"/>
  <c r="C23" i="2"/>
  <c r="C103" i="6"/>
  <c r="R79" i="5"/>
  <c r="R84" i="5"/>
  <c r="A66" i="6"/>
  <c r="C84" i="5"/>
  <c r="C14" i="2"/>
  <c r="D93" i="5"/>
  <c r="D15" i="2"/>
  <c r="E99" i="5"/>
  <c r="E16" i="2"/>
  <c r="F105" i="5"/>
  <c r="F17" i="2"/>
  <c r="D69" i="6"/>
  <c r="E89" i="6"/>
  <c r="F110" i="6"/>
  <c r="F112" i="6"/>
  <c r="E40" i="9"/>
  <c r="O26" i="17"/>
  <c r="AE29" i="17"/>
  <c r="F35" i="22"/>
  <c r="AC30" i="17"/>
  <c r="F40" i="13"/>
  <c r="D84" i="5"/>
  <c r="D14" i="2"/>
  <c r="E93" i="5"/>
  <c r="E15" i="2"/>
  <c r="F99" i="5"/>
  <c r="F16" i="2"/>
  <c r="H107" i="5"/>
  <c r="H108" i="5"/>
  <c r="H109" i="5"/>
  <c r="H110" i="5"/>
  <c r="B35" i="22"/>
  <c r="B29" i="17"/>
  <c r="I26" i="11"/>
  <c r="B32" i="17"/>
  <c r="I26" i="14"/>
  <c r="H57" i="21"/>
  <c r="Q23" i="15"/>
  <c r="E84" i="5"/>
  <c r="E14" i="2"/>
  <c r="F93" i="5"/>
  <c r="F15" i="2"/>
  <c r="H101" i="5"/>
  <c r="H102" i="5"/>
  <c r="H103" i="5"/>
  <c r="H104" i="5"/>
  <c r="I107" i="5"/>
  <c r="I108" i="5"/>
  <c r="I109" i="5"/>
  <c r="I110" i="5"/>
  <c r="A50" i="6"/>
  <c r="G40" i="9"/>
  <c r="E32" i="2"/>
  <c r="P32" i="2"/>
  <c r="E26" i="10"/>
  <c r="O32" i="17"/>
  <c r="N57" i="21"/>
  <c r="H95" i="5"/>
  <c r="H96" i="5"/>
  <c r="H97" i="5"/>
  <c r="H98" i="5"/>
  <c r="I101" i="5"/>
  <c r="I105" i="5"/>
  <c r="C25" i="2"/>
  <c r="J107" i="5"/>
  <c r="J108" i="5"/>
  <c r="J109" i="5"/>
  <c r="J110" i="5"/>
  <c r="C35" i="22"/>
  <c r="O29" i="17"/>
  <c r="T57" i="21"/>
  <c r="L18" i="15"/>
  <c r="N17" i="15"/>
  <c r="N18" i="15"/>
  <c r="G6" i="19"/>
  <c r="B24" i="19"/>
  <c r="K107" i="5"/>
  <c r="K108" i="5"/>
  <c r="K109" i="5"/>
  <c r="K110" i="5"/>
  <c r="D45" i="6"/>
  <c r="D81" i="6"/>
  <c r="D112" i="6"/>
  <c r="B103" i="6"/>
  <c r="B112" i="6"/>
  <c r="F40" i="7"/>
  <c r="D26" i="9"/>
  <c r="D40" i="9"/>
  <c r="M17" i="15"/>
  <c r="M18" i="15"/>
  <c r="C24" i="19"/>
  <c r="B47" i="5"/>
  <c r="B48" i="5"/>
  <c r="H48" i="5"/>
  <c r="B49" i="5"/>
  <c r="H49" i="5"/>
  <c r="B50" i="5"/>
  <c r="H50" i="5"/>
  <c r="H79" i="5"/>
  <c r="H80" i="5"/>
  <c r="H81" i="5"/>
  <c r="H82" i="5"/>
  <c r="H83" i="5"/>
  <c r="L107" i="5"/>
  <c r="L108" i="5"/>
  <c r="L109" i="5"/>
  <c r="F53" i="6"/>
  <c r="F71" i="6"/>
  <c r="Z26" i="21"/>
  <c r="G26" i="7"/>
  <c r="H26" i="10"/>
  <c r="AF57" i="21"/>
  <c r="D24" i="19"/>
  <c r="E24" i="20"/>
  <c r="C47" i="5"/>
  <c r="C48" i="5"/>
  <c r="I48" i="5"/>
  <c r="C49" i="5"/>
  <c r="I49" i="5"/>
  <c r="C50" i="5"/>
  <c r="I50" i="5"/>
  <c r="C52" i="5"/>
  <c r="I52" i="5"/>
  <c r="N107" i="5"/>
  <c r="N108" i="5"/>
  <c r="N109" i="5"/>
  <c r="N110" i="5"/>
  <c r="A48" i="6"/>
  <c r="E26" i="13"/>
  <c r="G40" i="13"/>
  <c r="I34" i="15"/>
  <c r="E24" i="19"/>
  <c r="AF54" i="21"/>
  <c r="N101" i="5"/>
  <c r="N102" i="5"/>
  <c r="N103" i="5"/>
  <c r="N104" i="5"/>
  <c r="O107" i="5"/>
  <c r="O108" i="5"/>
  <c r="O109" i="5"/>
  <c r="O110" i="5"/>
  <c r="G26" i="9"/>
  <c r="G40" i="10"/>
  <c r="E34" i="22"/>
  <c r="I40" i="12"/>
  <c r="M20" i="15"/>
  <c r="B11" i="22"/>
  <c r="D10" i="22"/>
  <c r="N95" i="5"/>
  <c r="N96" i="5"/>
  <c r="N97" i="5"/>
  <c r="N98" i="5"/>
  <c r="O101" i="5"/>
  <c r="O102" i="5"/>
  <c r="O103" i="5"/>
  <c r="O104" i="5"/>
  <c r="P107" i="5"/>
  <c r="P108" i="5"/>
  <c r="P109" i="5"/>
  <c r="P110" i="5"/>
  <c r="H40" i="9"/>
  <c r="F33" i="22"/>
  <c r="F26" i="10"/>
  <c r="D84" i="21"/>
  <c r="N19" i="15"/>
  <c r="H54" i="21"/>
  <c r="O95" i="5"/>
  <c r="O96" i="5"/>
  <c r="O97" i="5"/>
  <c r="O98" i="5"/>
  <c r="P101" i="5"/>
  <c r="P102" i="5"/>
  <c r="P103" i="5"/>
  <c r="P104" i="5"/>
  <c r="Q107" i="5"/>
  <c r="Q108" i="5"/>
  <c r="Q109" i="5"/>
  <c r="Q110" i="5"/>
  <c r="D26" i="7"/>
  <c r="Z50" i="21"/>
  <c r="Z57" i="21"/>
  <c r="B35" i="17"/>
  <c r="B41" i="22"/>
  <c r="T27" i="21"/>
  <c r="N79" i="5"/>
  <c r="N80" i="5"/>
  <c r="N81" i="5"/>
  <c r="N82" i="5"/>
  <c r="N83" i="5"/>
  <c r="P95" i="5"/>
  <c r="P96" i="5"/>
  <c r="P97" i="5"/>
  <c r="P98" i="5"/>
  <c r="Q101" i="5"/>
  <c r="Q102" i="5"/>
  <c r="Q103" i="5"/>
  <c r="Q104" i="5"/>
  <c r="R107" i="5"/>
  <c r="R111" i="5"/>
  <c r="D26" i="13"/>
  <c r="F40" i="14"/>
  <c r="B38" i="22"/>
  <c r="O79" i="5"/>
  <c r="O80" i="5"/>
  <c r="O81" i="5"/>
  <c r="O82" i="5"/>
  <c r="O83" i="5"/>
  <c r="Q95" i="5"/>
  <c r="Q96" i="5"/>
  <c r="Q97" i="5"/>
  <c r="Q98" i="5"/>
  <c r="R101" i="5"/>
  <c r="R105" i="5"/>
  <c r="C96" i="6"/>
  <c r="E40" i="10"/>
  <c r="C33" i="2"/>
  <c r="L33" i="2"/>
  <c r="G40" i="14"/>
  <c r="H40" i="14"/>
  <c r="F38" i="22"/>
  <c r="C38" i="22"/>
  <c r="P79" i="5"/>
  <c r="P80" i="5"/>
  <c r="P81" i="5"/>
  <c r="P82" i="5"/>
  <c r="P83" i="5"/>
  <c r="R95" i="5"/>
  <c r="R99" i="5"/>
  <c r="H26" i="7"/>
  <c r="F40" i="10"/>
  <c r="D33" i="2"/>
  <c r="N33" i="2"/>
  <c r="F40" i="11"/>
  <c r="I40" i="11"/>
  <c r="Z41" i="21"/>
  <c r="G26" i="12"/>
  <c r="Q7" i="15"/>
  <c r="L36" i="6"/>
  <c r="B89" i="6"/>
  <c r="E96" i="6"/>
  <c r="C110" i="6"/>
  <c r="G40" i="11"/>
  <c r="AD29" i="17"/>
  <c r="AF41" i="21"/>
  <c r="H26" i="12"/>
  <c r="D85" i="21"/>
  <c r="M8" i="15"/>
  <c r="M24" i="15"/>
  <c r="Q24" i="15"/>
  <c r="D24" i="20"/>
  <c r="L6" i="15"/>
  <c r="L22" i="15"/>
  <c r="D26" i="12"/>
  <c r="N15" i="15"/>
  <c r="N16" i="15"/>
  <c r="N31" i="15"/>
  <c r="N32" i="15"/>
  <c r="Q32" i="15"/>
  <c r="E26" i="12"/>
  <c r="M13" i="15"/>
  <c r="M14" i="15"/>
  <c r="L20" i="15"/>
  <c r="M29" i="15"/>
  <c r="M30" i="15"/>
  <c r="O31" i="15"/>
  <c r="O32" i="15"/>
  <c r="N29" i="15"/>
  <c r="N30" i="15"/>
  <c r="P31" i="15"/>
  <c r="P32" i="15"/>
  <c r="D25" i="20"/>
  <c r="E25" i="20"/>
  <c r="M11" i="15"/>
  <c r="M27" i="15"/>
  <c r="Q31" i="15"/>
  <c r="N27" i="15"/>
  <c r="N28" i="15"/>
  <c r="M9" i="15"/>
  <c r="M25" i="15"/>
  <c r="O27" i="15"/>
  <c r="O28" i="15"/>
  <c r="M5" i="15"/>
  <c r="O7" i="15"/>
  <c r="O8" i="15"/>
  <c r="M21" i="15"/>
  <c r="N21" i="15"/>
  <c r="N22" i="15"/>
  <c r="O23" i="15"/>
  <c r="O24" i="15"/>
  <c r="N5" i="15"/>
  <c r="P7" i="15"/>
  <c r="P8" i="15"/>
  <c r="P23" i="15"/>
  <c r="P24" i="15"/>
  <c r="D36" i="22"/>
  <c r="D37" i="1"/>
  <c r="E37" i="1"/>
  <c r="F37" i="1"/>
  <c r="F37" i="22"/>
  <c r="F52" i="22"/>
  <c r="AE31" i="17"/>
  <c r="T36" i="2"/>
  <c r="T46" i="21"/>
  <c r="D81" i="21"/>
  <c r="J31" i="2"/>
  <c r="B30" i="22"/>
  <c r="C32" i="22"/>
  <c r="E17" i="8"/>
  <c r="B24" i="17"/>
  <c r="F17" i="8"/>
  <c r="O24" i="17"/>
  <c r="B30" i="1"/>
  <c r="G30" i="1"/>
  <c r="G30" i="22"/>
  <c r="S38" i="2"/>
  <c r="S39" i="2"/>
  <c r="S48" i="2"/>
  <c r="O22" i="17"/>
  <c r="N31" i="21"/>
  <c r="C29" i="22"/>
  <c r="O44" i="2"/>
  <c r="O45" i="2"/>
  <c r="O46" i="2"/>
  <c r="M48" i="2"/>
  <c r="D48" i="2"/>
  <c r="D29" i="22"/>
  <c r="N71" i="5"/>
  <c r="Q105" i="5"/>
  <c r="H105" i="5"/>
  <c r="B25" i="2"/>
  <c r="G25" i="2"/>
  <c r="N105" i="5"/>
  <c r="G17" i="2"/>
  <c r="I48" i="2"/>
  <c r="B48" i="2"/>
  <c r="K48" i="2"/>
  <c r="C48" i="2"/>
  <c r="AD31" i="17"/>
  <c r="E37" i="22"/>
  <c r="E52" i="22"/>
  <c r="D37" i="22"/>
  <c r="D52" i="22"/>
  <c r="F5" i="21"/>
  <c r="B36" i="5"/>
  <c r="H5" i="5"/>
  <c r="M6" i="15"/>
  <c r="E39" i="15"/>
  <c r="M12" i="15"/>
  <c r="O105" i="5"/>
  <c r="L111" i="5"/>
  <c r="B26" i="17"/>
  <c r="B33" i="22"/>
  <c r="G33" i="22"/>
  <c r="I26" i="9"/>
  <c r="B33" i="1"/>
  <c r="D95" i="21"/>
  <c r="AC31" i="17"/>
  <c r="I40" i="7"/>
  <c r="M46" i="2"/>
  <c r="K46" i="2"/>
  <c r="I46" i="2"/>
  <c r="C26" i="5"/>
  <c r="I26" i="5"/>
  <c r="T31" i="2"/>
  <c r="D37" i="2"/>
  <c r="D38" i="1"/>
  <c r="D38" i="22"/>
  <c r="N25" i="15"/>
  <c r="N26" i="15"/>
  <c r="M26" i="15"/>
  <c r="O21" i="15"/>
  <c r="O22" i="15"/>
  <c r="E37" i="2"/>
  <c r="P37" i="2"/>
  <c r="E38" i="1"/>
  <c r="B37" i="22"/>
  <c r="B31" i="17"/>
  <c r="I26" i="13"/>
  <c r="B37" i="1"/>
  <c r="D35" i="22"/>
  <c r="G35" i="22"/>
  <c r="AD26" i="17"/>
  <c r="E33" i="22"/>
  <c r="E33" i="1"/>
  <c r="L38" i="6"/>
  <c r="L45" i="6"/>
  <c r="AD45" i="5"/>
  <c r="C113" i="5"/>
  <c r="D74" i="6"/>
  <c r="V3" i="5"/>
  <c r="AB3" i="5"/>
  <c r="J3" i="6"/>
  <c r="AC22" i="17"/>
  <c r="B74" i="6"/>
  <c r="T3" i="5"/>
  <c r="Z3" i="5"/>
  <c r="H3" i="6"/>
  <c r="F8" i="21"/>
  <c r="H8" i="5"/>
  <c r="G8" i="21"/>
  <c r="H8" i="21"/>
  <c r="G32" i="1"/>
  <c r="AF35" i="21"/>
  <c r="AF37" i="21"/>
  <c r="F31" i="22"/>
  <c r="AE24" i="17"/>
  <c r="F31" i="1"/>
  <c r="C34" i="22"/>
  <c r="N50" i="21"/>
  <c r="N58" i="21"/>
  <c r="O27" i="17"/>
  <c r="C34" i="1"/>
  <c r="I40" i="10"/>
  <c r="I47" i="5"/>
  <c r="AC32" i="17"/>
  <c r="C3" i="17"/>
  <c r="O3" i="17"/>
  <c r="H63" i="5"/>
  <c r="H69" i="5"/>
  <c r="B69" i="5"/>
  <c r="AF25" i="17"/>
  <c r="E36" i="22"/>
  <c r="Z46" i="21"/>
  <c r="AD30" i="17"/>
  <c r="E36" i="1"/>
  <c r="N84" i="5"/>
  <c r="D92" i="21"/>
  <c r="N99" i="5"/>
  <c r="B113" i="5"/>
  <c r="G33" i="2"/>
  <c r="J5" i="21"/>
  <c r="J6" i="21"/>
  <c r="J7" i="21"/>
  <c r="C40" i="5"/>
  <c r="I40" i="5"/>
  <c r="C43" i="5"/>
  <c r="I43" i="5"/>
  <c r="C41" i="5"/>
  <c r="I41" i="5"/>
  <c r="J8" i="21"/>
  <c r="C68" i="5"/>
  <c r="I68" i="5"/>
  <c r="C67" i="5"/>
  <c r="I67" i="5"/>
  <c r="C66" i="5"/>
  <c r="I66" i="5"/>
  <c r="C65" i="5"/>
  <c r="I65" i="5"/>
  <c r="C64" i="5"/>
  <c r="I64" i="5"/>
  <c r="C63" i="5"/>
  <c r="C44" i="5"/>
  <c r="I44" i="5"/>
  <c r="C12" i="5"/>
  <c r="I12" i="5"/>
  <c r="C15" i="5"/>
  <c r="I15" i="5"/>
  <c r="C7" i="5"/>
  <c r="C42" i="5"/>
  <c r="I42" i="5"/>
  <c r="C10" i="5"/>
  <c r="I10" i="5"/>
  <c r="C38" i="5"/>
  <c r="C13" i="5"/>
  <c r="I13" i="5"/>
  <c r="C5" i="5"/>
  <c r="C8" i="5"/>
  <c r="H74" i="3"/>
  <c r="C11" i="5"/>
  <c r="I11" i="5"/>
  <c r="C39" i="5"/>
  <c r="I39" i="5"/>
  <c r="C14" i="5"/>
  <c r="I14" i="5"/>
  <c r="C6" i="5"/>
  <c r="C9" i="5"/>
  <c r="I9" i="5"/>
  <c r="G32" i="22"/>
  <c r="N9" i="15"/>
  <c r="N10" i="15"/>
  <c r="M10" i="15"/>
  <c r="N13" i="15"/>
  <c r="N14" i="15"/>
  <c r="Q111" i="5"/>
  <c r="Q113" i="5"/>
  <c r="N20" i="15"/>
  <c r="O19" i="15"/>
  <c r="H84" i="5"/>
  <c r="B22" i="2"/>
  <c r="E113" i="5"/>
  <c r="E18" i="2"/>
  <c r="G18" i="2"/>
  <c r="H55" i="5"/>
  <c r="H61" i="5"/>
  <c r="B61" i="5"/>
  <c r="C22" i="5"/>
  <c r="I22" i="5"/>
  <c r="C31" i="22"/>
  <c r="D27" i="20"/>
  <c r="Q48" i="2"/>
  <c r="F48" i="2"/>
  <c r="Q44" i="2"/>
  <c r="Q45" i="2"/>
  <c r="Q46" i="2"/>
  <c r="D35" i="1"/>
  <c r="G35" i="1"/>
  <c r="D35" i="2"/>
  <c r="D34" i="2"/>
  <c r="O111" i="5"/>
  <c r="C32" i="2"/>
  <c r="C33" i="1"/>
  <c r="G15" i="2"/>
  <c r="I55" i="5"/>
  <c r="C19" i="19"/>
  <c r="B11" i="1"/>
  <c r="B20" i="19"/>
  <c r="D10" i="1"/>
  <c r="G3" i="3"/>
  <c r="D40" i="15"/>
  <c r="D34" i="22"/>
  <c r="T50" i="21"/>
  <c r="T58" i="21"/>
  <c r="AC27" i="17"/>
  <c r="D34" i="1"/>
  <c r="I111" i="5"/>
  <c r="H93" i="5"/>
  <c r="B23" i="2"/>
  <c r="G23" i="2"/>
  <c r="J55" i="5"/>
  <c r="O71" i="5"/>
  <c r="C32" i="5"/>
  <c r="I32" i="5"/>
  <c r="B29" i="22"/>
  <c r="H31" i="21"/>
  <c r="I26" i="7"/>
  <c r="B22" i="17"/>
  <c r="B29" i="1"/>
  <c r="F29" i="22"/>
  <c r="AE22" i="17"/>
  <c r="F29" i="1"/>
  <c r="F33" i="1"/>
  <c r="F32" i="2"/>
  <c r="C37" i="22"/>
  <c r="C52" i="22"/>
  <c r="O31" i="17"/>
  <c r="C37" i="1"/>
  <c r="K111" i="5"/>
  <c r="N93" i="5"/>
  <c r="K55" i="5"/>
  <c r="B45" i="5"/>
  <c r="H38" i="5"/>
  <c r="H45" i="5"/>
  <c r="C71" i="6"/>
  <c r="F113" i="5"/>
  <c r="AC24" i="17"/>
  <c r="T35" i="21"/>
  <c r="T37" i="21"/>
  <c r="D31" i="22"/>
  <c r="D31" i="1"/>
  <c r="AE32" i="17"/>
  <c r="F37" i="2"/>
  <c r="R37" i="2"/>
  <c r="F38" i="1"/>
  <c r="N11" i="15"/>
  <c r="Q99" i="5"/>
  <c r="E38" i="22"/>
  <c r="G38" i="22"/>
  <c r="P105" i="5"/>
  <c r="H47" i="5"/>
  <c r="H53" i="5"/>
  <c r="B53" i="5"/>
  <c r="B39" i="19"/>
  <c r="J111" i="5"/>
  <c r="D71" i="6"/>
  <c r="O93" i="5"/>
  <c r="L55" i="5"/>
  <c r="AD32" i="17"/>
  <c r="C24" i="5"/>
  <c r="I24" i="5"/>
  <c r="C59" i="5"/>
  <c r="I59" i="5"/>
  <c r="Z35" i="21"/>
  <c r="Z37" i="21"/>
  <c r="E31" i="22"/>
  <c r="AD24" i="17"/>
  <c r="E31" i="1"/>
  <c r="D79" i="21"/>
  <c r="O15" i="15"/>
  <c r="P15" i="15"/>
  <c r="P16" i="15"/>
  <c r="F36" i="22"/>
  <c r="AF46" i="21"/>
  <c r="AE30" i="17"/>
  <c r="F36" i="1"/>
  <c r="F34" i="22"/>
  <c r="AF50" i="21"/>
  <c r="AF58" i="21"/>
  <c r="AE27" i="17"/>
  <c r="F34" i="1"/>
  <c r="H111" i="5"/>
  <c r="P93" i="5"/>
  <c r="B27" i="17"/>
  <c r="I26" i="10"/>
  <c r="B34" i="22"/>
  <c r="H50" i="21"/>
  <c r="B34" i="1"/>
  <c r="G34" i="1"/>
  <c r="F19" i="2"/>
  <c r="R19" i="2"/>
  <c r="C58" i="5"/>
  <c r="I58" i="5"/>
  <c r="E34" i="1"/>
  <c r="E33" i="2"/>
  <c r="P33" i="2"/>
  <c r="T33" i="2"/>
  <c r="N6" i="15"/>
  <c r="C11" i="22"/>
  <c r="E10" i="22"/>
  <c r="E29" i="22"/>
  <c r="Z31" i="21"/>
  <c r="AD22" i="17"/>
  <c r="E29" i="1"/>
  <c r="O29" i="15"/>
  <c r="O30" i="15"/>
  <c r="C36" i="22"/>
  <c r="N46" i="21"/>
  <c r="O30" i="17"/>
  <c r="C36" i="1"/>
  <c r="E35" i="1"/>
  <c r="E35" i="2"/>
  <c r="P35" i="2"/>
  <c r="P38" i="2"/>
  <c r="E34" i="2"/>
  <c r="P34" i="2"/>
  <c r="P111" i="5"/>
  <c r="R93" i="5"/>
  <c r="R113" i="5"/>
  <c r="D113" i="5"/>
  <c r="H35" i="21"/>
  <c r="H37" i="21"/>
  <c r="B31" i="22"/>
  <c r="B31" i="1"/>
  <c r="M28" i="15"/>
  <c r="Q28" i="15"/>
  <c r="Q27" i="15"/>
  <c r="P27" i="15"/>
  <c r="P28" i="15"/>
  <c r="C112" i="6"/>
  <c r="O99" i="5"/>
  <c r="N111" i="5"/>
  <c r="O17" i="15"/>
  <c r="E19" i="2"/>
  <c r="P19" i="2"/>
  <c r="D19" i="2"/>
  <c r="N19" i="2"/>
  <c r="C19" i="2"/>
  <c r="L19" i="2"/>
  <c r="C21" i="5"/>
  <c r="I21" i="5"/>
  <c r="C25" i="5"/>
  <c r="I25" i="5"/>
  <c r="M22" i="15"/>
  <c r="P84" i="5"/>
  <c r="O84" i="5"/>
  <c r="AD27" i="17"/>
  <c r="AC29" i="17"/>
  <c r="AF29" i="17"/>
  <c r="H99" i="5"/>
  <c r="B24" i="2"/>
  <c r="G24" i="2"/>
  <c r="I40" i="14"/>
  <c r="B19" i="2"/>
  <c r="J19" i="2"/>
  <c r="C12" i="2"/>
  <c r="E11" i="2"/>
  <c r="D30" i="2"/>
  <c r="D29" i="1"/>
  <c r="O13" i="15"/>
  <c r="O14" i="15"/>
  <c r="I26" i="12"/>
  <c r="B36" i="22"/>
  <c r="H46" i="21"/>
  <c r="B30" i="17"/>
  <c r="B36" i="1"/>
  <c r="P99" i="5"/>
  <c r="Z58" i="21"/>
  <c r="O5" i="15"/>
  <c r="C51" i="5"/>
  <c r="I51" i="5"/>
  <c r="I40" i="9"/>
  <c r="B32" i="2"/>
  <c r="I40" i="13"/>
  <c r="F7" i="21"/>
  <c r="H7" i="5"/>
  <c r="G7" i="21"/>
  <c r="C74" i="6"/>
  <c r="U3" i="5"/>
  <c r="AA3" i="5"/>
  <c r="I3" i="6"/>
  <c r="C35" i="5"/>
  <c r="I35" i="5"/>
  <c r="E35" i="22"/>
  <c r="C17" i="5"/>
  <c r="I17" i="5"/>
  <c r="G14" i="2"/>
  <c r="AF23" i="17"/>
  <c r="E38" i="2"/>
  <c r="AF32" i="17"/>
  <c r="G36" i="1"/>
  <c r="N35" i="21"/>
  <c r="N37" i="21"/>
  <c r="C31" i="1"/>
  <c r="E76" i="21"/>
  <c r="F39" i="22"/>
  <c r="O33" i="17"/>
  <c r="S44" i="2"/>
  <c r="S45" i="2"/>
  <c r="S46" i="2"/>
  <c r="G48" i="2"/>
  <c r="P113" i="5"/>
  <c r="H7" i="21"/>
  <c r="D39" i="22"/>
  <c r="L113" i="5"/>
  <c r="F26" i="2"/>
  <c r="F27" i="2"/>
  <c r="R27" i="2"/>
  <c r="C61" i="5"/>
  <c r="C39" i="1"/>
  <c r="C45" i="5"/>
  <c r="I38" i="5"/>
  <c r="I45" i="5"/>
  <c r="F39" i="1"/>
  <c r="P21" i="15"/>
  <c r="T19" i="2"/>
  <c r="AC33" i="17"/>
  <c r="I61" i="5"/>
  <c r="C39" i="22"/>
  <c r="AE33" i="17"/>
  <c r="G38" i="1"/>
  <c r="E77" i="21"/>
  <c r="H58" i="21"/>
  <c r="D88" i="21"/>
  <c r="I113" i="5"/>
  <c r="C26" i="2"/>
  <c r="C27" i="2"/>
  <c r="L27" i="2"/>
  <c r="N37" i="2"/>
  <c r="G37" i="2"/>
  <c r="J32" i="2"/>
  <c r="J38" i="2"/>
  <c r="G32" i="2"/>
  <c r="B38" i="2"/>
  <c r="G31" i="1"/>
  <c r="B39" i="1"/>
  <c r="G34" i="22"/>
  <c r="B15" i="22"/>
  <c r="B8" i="17"/>
  <c r="F16" i="21"/>
  <c r="B15" i="1"/>
  <c r="B22" i="22"/>
  <c r="G17" i="21"/>
  <c r="H17" i="21"/>
  <c r="B15" i="17"/>
  <c r="B22" i="1"/>
  <c r="L32" i="2"/>
  <c r="L38" i="2"/>
  <c r="C38" i="2"/>
  <c r="G15" i="21"/>
  <c r="B25" i="22"/>
  <c r="B18" i="17"/>
  <c r="B25" i="1"/>
  <c r="G37" i="1"/>
  <c r="O113" i="5"/>
  <c r="AC3" i="17"/>
  <c r="N4" i="17"/>
  <c r="B4" i="17"/>
  <c r="P3" i="17"/>
  <c r="P4" i="17"/>
  <c r="Q3" i="17"/>
  <c r="Q4" i="17"/>
  <c r="R3" i="17"/>
  <c r="R4" i="17"/>
  <c r="S3" i="17"/>
  <c r="S4" i="17"/>
  <c r="T3" i="17"/>
  <c r="T4" i="17"/>
  <c r="U3" i="17"/>
  <c r="U4" i="17"/>
  <c r="V3" i="17"/>
  <c r="V4" i="17"/>
  <c r="W3" i="17"/>
  <c r="P5" i="15"/>
  <c r="Q5" i="15"/>
  <c r="J113" i="5"/>
  <c r="D26" i="2"/>
  <c r="D27" i="2"/>
  <c r="N27" i="2"/>
  <c r="D12" i="2"/>
  <c r="F11" i="2"/>
  <c r="D78" i="21"/>
  <c r="AF27" i="17"/>
  <c r="E39" i="1"/>
  <c r="P13" i="15"/>
  <c r="P14" i="15"/>
  <c r="Q14" i="15"/>
  <c r="D3" i="17"/>
  <c r="E3" i="17"/>
  <c r="C4" i="17"/>
  <c r="AF31" i="17"/>
  <c r="O16" i="15"/>
  <c r="Q16" i="15"/>
  <c r="Q15" i="15"/>
  <c r="G31" i="22"/>
  <c r="B39" i="22"/>
  <c r="O6" i="15"/>
  <c r="B33" i="17"/>
  <c r="AF24" i="17"/>
  <c r="AD33" i="17"/>
  <c r="G29" i="1"/>
  <c r="B9" i="17"/>
  <c r="F14" i="21"/>
  <c r="B16" i="22"/>
  <c r="B16" i="1"/>
  <c r="I63" i="5"/>
  <c r="I69" i="5"/>
  <c r="C69" i="5"/>
  <c r="G37" i="22"/>
  <c r="B52" i="22"/>
  <c r="C41" i="22"/>
  <c r="O35" i="17"/>
  <c r="C41" i="1"/>
  <c r="O9" i="15"/>
  <c r="O10" i="15"/>
  <c r="F15" i="21"/>
  <c r="B17" i="22"/>
  <c r="B10" i="17"/>
  <c r="B71" i="5"/>
  <c r="B17" i="1"/>
  <c r="B16" i="17"/>
  <c r="G16" i="21"/>
  <c r="H16" i="21"/>
  <c r="B23" i="22"/>
  <c r="B23" i="1"/>
  <c r="H113" i="5"/>
  <c r="B26" i="2"/>
  <c r="G26" i="2"/>
  <c r="E39" i="22"/>
  <c r="AF22" i="17"/>
  <c r="N34" i="2"/>
  <c r="G34" i="2"/>
  <c r="B17" i="17"/>
  <c r="G14" i="21"/>
  <c r="B24" i="22"/>
  <c r="B24" i="1"/>
  <c r="L6" i="21"/>
  <c r="I6" i="5"/>
  <c r="M6" i="21"/>
  <c r="N6" i="21"/>
  <c r="C53" i="5"/>
  <c r="E40" i="15"/>
  <c r="L7" i="21"/>
  <c r="I7" i="5"/>
  <c r="M7" i="21"/>
  <c r="N7" i="21"/>
  <c r="D38" i="2"/>
  <c r="N30" i="2"/>
  <c r="G30" i="2"/>
  <c r="B7" i="17"/>
  <c r="B14" i="22"/>
  <c r="F17" i="21"/>
  <c r="B14" i="1"/>
  <c r="G19" i="2"/>
  <c r="D11" i="22"/>
  <c r="F10" i="22"/>
  <c r="K113" i="5"/>
  <c r="E26" i="2"/>
  <c r="E27" i="2"/>
  <c r="P27" i="2"/>
  <c r="P39" i="2"/>
  <c r="B42" i="22"/>
  <c r="B36" i="17"/>
  <c r="B42" i="1"/>
  <c r="N35" i="2"/>
  <c r="G35" i="2"/>
  <c r="I53" i="5"/>
  <c r="G5" i="21"/>
  <c r="H5" i="21"/>
  <c r="H9" i="21"/>
  <c r="H36" i="5"/>
  <c r="H71" i="5"/>
  <c r="B6" i="17"/>
  <c r="B13" i="22"/>
  <c r="B13" i="1"/>
  <c r="G29" i="22"/>
  <c r="P29" i="15"/>
  <c r="G33" i="1"/>
  <c r="AF30" i="17"/>
  <c r="O18" i="15"/>
  <c r="P17" i="15"/>
  <c r="T34" i="2"/>
  <c r="F39" i="15"/>
  <c r="T37" i="2"/>
  <c r="D19" i="19"/>
  <c r="C11" i="1"/>
  <c r="C20" i="19"/>
  <c r="E10" i="1"/>
  <c r="H3" i="3"/>
  <c r="G22" i="2"/>
  <c r="B27" i="2"/>
  <c r="J27" i="2"/>
  <c r="P6" i="21"/>
  <c r="P7" i="21"/>
  <c r="P8" i="21"/>
  <c r="D40" i="5"/>
  <c r="J40" i="5"/>
  <c r="D43" i="5"/>
  <c r="J43" i="5"/>
  <c r="P5" i="21"/>
  <c r="D41" i="5"/>
  <c r="J41" i="5"/>
  <c r="D68" i="5"/>
  <c r="J68" i="5"/>
  <c r="D67" i="5"/>
  <c r="J67" i="5"/>
  <c r="D66" i="5"/>
  <c r="J66" i="5"/>
  <c r="D65" i="5"/>
  <c r="J65" i="5"/>
  <c r="D64" i="5"/>
  <c r="J64" i="5"/>
  <c r="D63" i="5"/>
  <c r="D44" i="5"/>
  <c r="J44" i="5"/>
  <c r="D12" i="5"/>
  <c r="J12" i="5"/>
  <c r="D15" i="5"/>
  <c r="J15" i="5"/>
  <c r="D7" i="5"/>
  <c r="D25" i="5"/>
  <c r="J25" i="5"/>
  <c r="D42" i="5"/>
  <c r="J42" i="5"/>
  <c r="D10" i="5"/>
  <c r="J10" i="5"/>
  <c r="D33" i="5"/>
  <c r="J33" i="5"/>
  <c r="D38" i="5"/>
  <c r="D13" i="5"/>
  <c r="J13" i="5"/>
  <c r="D5" i="5"/>
  <c r="D17" i="5"/>
  <c r="J17" i="5"/>
  <c r="D8" i="5"/>
  <c r="I74" i="3"/>
  <c r="D11" i="5"/>
  <c r="J11" i="5"/>
  <c r="D39" i="5"/>
  <c r="J39" i="5"/>
  <c r="D14" i="5"/>
  <c r="J14" i="5"/>
  <c r="D6" i="5"/>
  <c r="D9" i="5"/>
  <c r="J9" i="5"/>
  <c r="D16" i="5"/>
  <c r="J16" i="5"/>
  <c r="D48" i="5"/>
  <c r="J48" i="5"/>
  <c r="D22" i="5"/>
  <c r="J22" i="5"/>
  <c r="D21" i="5"/>
  <c r="J21" i="5"/>
  <c r="D49" i="5"/>
  <c r="J49" i="5"/>
  <c r="D20" i="5"/>
  <c r="J20" i="5"/>
  <c r="D27" i="5"/>
  <c r="J27" i="5"/>
  <c r="D18" i="5"/>
  <c r="J18" i="5"/>
  <c r="D56" i="5"/>
  <c r="D50" i="5"/>
  <c r="J50" i="5"/>
  <c r="D24" i="5"/>
  <c r="J24" i="5"/>
  <c r="D51" i="5"/>
  <c r="J51" i="5"/>
  <c r="D58" i="5"/>
  <c r="J58" i="5"/>
  <c r="D30" i="5"/>
  <c r="J30" i="5"/>
  <c r="D29" i="5"/>
  <c r="J29" i="5"/>
  <c r="D52" i="5"/>
  <c r="J52" i="5"/>
  <c r="D59" i="5"/>
  <c r="J59" i="5"/>
  <c r="D35" i="5"/>
  <c r="J35" i="5"/>
  <c r="D26" i="5"/>
  <c r="J26" i="5"/>
  <c r="D32" i="5"/>
  <c r="J32" i="5"/>
  <c r="D34" i="5"/>
  <c r="J34" i="5"/>
  <c r="D23" i="5"/>
  <c r="J23" i="5"/>
  <c r="D57" i="5"/>
  <c r="J57" i="5"/>
  <c r="D60" i="5"/>
  <c r="J60" i="5"/>
  <c r="D31" i="5"/>
  <c r="J31" i="5"/>
  <c r="D28" i="5"/>
  <c r="J28" i="5"/>
  <c r="D19" i="5"/>
  <c r="J19" i="5"/>
  <c r="D47" i="5"/>
  <c r="N12" i="15"/>
  <c r="O11" i="15"/>
  <c r="O12" i="15"/>
  <c r="N113" i="5"/>
  <c r="L8" i="21"/>
  <c r="I8" i="5"/>
  <c r="M8" i="21"/>
  <c r="N8" i="21"/>
  <c r="E80" i="21"/>
  <c r="T35" i="2"/>
  <c r="F40" i="15"/>
  <c r="R32" i="2"/>
  <c r="F38" i="2"/>
  <c r="O20" i="15"/>
  <c r="P19" i="15"/>
  <c r="P20" i="15"/>
  <c r="G36" i="22"/>
  <c r="D39" i="1"/>
  <c r="D28" i="20"/>
  <c r="E27" i="20"/>
  <c r="E28" i="20"/>
  <c r="L5" i="21"/>
  <c r="C36" i="5"/>
  <c r="I5" i="5"/>
  <c r="O25" i="15"/>
  <c r="P25" i="15"/>
  <c r="P26" i="15"/>
  <c r="AF26" i="17"/>
  <c r="E39" i="2"/>
  <c r="E44" i="2"/>
  <c r="E45" i="2"/>
  <c r="E46" i="2"/>
  <c r="E51" i="2"/>
  <c r="F39" i="2"/>
  <c r="F44" i="2"/>
  <c r="F45" i="2"/>
  <c r="F46" i="2"/>
  <c r="F51" i="2"/>
  <c r="C39" i="2"/>
  <c r="C44" i="2"/>
  <c r="C45" i="2"/>
  <c r="C46" i="2"/>
  <c r="C51" i="2"/>
  <c r="P48" i="2"/>
  <c r="E49" i="2"/>
  <c r="P44" i="2"/>
  <c r="P45" i="2"/>
  <c r="P46" i="2"/>
  <c r="D42" i="22"/>
  <c r="AC36" i="17"/>
  <c r="D42" i="1"/>
  <c r="P18" i="15"/>
  <c r="Q17" i="15"/>
  <c r="B37" i="17"/>
  <c r="C22" i="22"/>
  <c r="M17" i="21"/>
  <c r="O15" i="17"/>
  <c r="C22" i="1"/>
  <c r="AD3" i="17"/>
  <c r="O4" i="17"/>
  <c r="L14" i="21"/>
  <c r="O9" i="17"/>
  <c r="C16" i="22"/>
  <c r="C16" i="1"/>
  <c r="E87" i="21"/>
  <c r="M5" i="21"/>
  <c r="N5" i="21"/>
  <c r="N9" i="21"/>
  <c r="I36" i="5"/>
  <c r="O6" i="17"/>
  <c r="C13" i="22"/>
  <c r="C18" i="1"/>
  <c r="R7" i="21"/>
  <c r="J7" i="5"/>
  <c r="S7" i="21"/>
  <c r="T7" i="21"/>
  <c r="Q13" i="15"/>
  <c r="F3" i="17"/>
  <c r="D4" i="17"/>
  <c r="P11" i="15"/>
  <c r="P12" i="15"/>
  <c r="Q12" i="15"/>
  <c r="T27" i="2"/>
  <c r="C42" i="22"/>
  <c r="C43" i="22"/>
  <c r="O36" i="17"/>
  <c r="O37" i="17"/>
  <c r="C42" i="1"/>
  <c r="C43" i="1"/>
  <c r="C6" i="20"/>
  <c r="C15" i="22"/>
  <c r="L16" i="21"/>
  <c r="O8" i="17"/>
  <c r="C15" i="1"/>
  <c r="G27" i="2"/>
  <c r="O26" i="15"/>
  <c r="Q26" i="15"/>
  <c r="Q25" i="15"/>
  <c r="F11" i="22"/>
  <c r="E11" i="22"/>
  <c r="B18" i="1"/>
  <c r="H14" i="21"/>
  <c r="J63" i="5"/>
  <c r="J69" i="5"/>
  <c r="D69" i="5"/>
  <c r="E19" i="19"/>
  <c r="D11" i="1"/>
  <c r="D20" i="19"/>
  <c r="F10" i="1"/>
  <c r="I3" i="3"/>
  <c r="B18" i="22"/>
  <c r="G39" i="1"/>
  <c r="B43" i="22"/>
  <c r="C25" i="22"/>
  <c r="O18" i="17"/>
  <c r="M15" i="21"/>
  <c r="C25" i="1"/>
  <c r="Q19" i="15"/>
  <c r="J47" i="5"/>
  <c r="J53" i="5"/>
  <c r="D53" i="5"/>
  <c r="B11" i="17"/>
  <c r="P30" i="15"/>
  <c r="Q30" i="15"/>
  <c r="Q29" i="15"/>
  <c r="V7" i="21"/>
  <c r="V8" i="21"/>
  <c r="V5" i="21"/>
  <c r="V6" i="21"/>
  <c r="E40" i="5"/>
  <c r="K40" i="5"/>
  <c r="E43" i="5"/>
  <c r="K43" i="5"/>
  <c r="E68" i="5"/>
  <c r="K68" i="5"/>
  <c r="E67" i="5"/>
  <c r="K67" i="5"/>
  <c r="E66" i="5"/>
  <c r="K66" i="5"/>
  <c r="E65" i="5"/>
  <c r="K65" i="5"/>
  <c r="E64" i="5"/>
  <c r="K64" i="5"/>
  <c r="E63" i="5"/>
  <c r="E44" i="5"/>
  <c r="K44" i="5"/>
  <c r="E41" i="5"/>
  <c r="K41" i="5"/>
  <c r="E15" i="5"/>
  <c r="K15" i="5"/>
  <c r="E7" i="5"/>
  <c r="E42" i="5"/>
  <c r="K42" i="5"/>
  <c r="E10" i="5"/>
  <c r="K10" i="5"/>
  <c r="E38" i="5"/>
  <c r="E13" i="5"/>
  <c r="K13" i="5"/>
  <c r="E5" i="5"/>
  <c r="E8" i="5"/>
  <c r="J74" i="3"/>
  <c r="E11" i="5"/>
  <c r="K11" i="5"/>
  <c r="E39" i="5"/>
  <c r="K39" i="5"/>
  <c r="E14" i="5"/>
  <c r="K14" i="5"/>
  <c r="E6" i="5"/>
  <c r="E9" i="5"/>
  <c r="K9" i="5"/>
  <c r="E12" i="5"/>
  <c r="K12" i="5"/>
  <c r="E29" i="5"/>
  <c r="K29" i="5"/>
  <c r="E18" i="5"/>
  <c r="K18" i="5"/>
  <c r="E21" i="5"/>
  <c r="K21" i="5"/>
  <c r="E20" i="5"/>
  <c r="K20" i="5"/>
  <c r="E16" i="5"/>
  <c r="K16" i="5"/>
  <c r="E56" i="5"/>
  <c r="E26" i="5"/>
  <c r="K26" i="5"/>
  <c r="E58" i="5"/>
  <c r="K58" i="5"/>
  <c r="E28" i="5"/>
  <c r="K28" i="5"/>
  <c r="E24" i="5"/>
  <c r="K24" i="5"/>
  <c r="E59" i="5"/>
  <c r="K59" i="5"/>
  <c r="E34" i="5"/>
  <c r="K34" i="5"/>
  <c r="E19" i="5"/>
  <c r="K19" i="5"/>
  <c r="E32" i="5"/>
  <c r="K32" i="5"/>
  <c r="E47" i="5"/>
  <c r="E48" i="5"/>
  <c r="K48" i="5"/>
  <c r="E27" i="5"/>
  <c r="K27" i="5"/>
  <c r="E49" i="5"/>
  <c r="K49" i="5"/>
  <c r="E50" i="5"/>
  <c r="K50" i="5"/>
  <c r="E17" i="5"/>
  <c r="K17" i="5"/>
  <c r="E35" i="5"/>
  <c r="K35" i="5"/>
  <c r="E51" i="5"/>
  <c r="K51" i="5"/>
  <c r="E57" i="5"/>
  <c r="K57" i="5"/>
  <c r="E60" i="5"/>
  <c r="K60" i="5"/>
  <c r="E52" i="5"/>
  <c r="K52" i="5"/>
  <c r="E25" i="5"/>
  <c r="K25" i="5"/>
  <c r="E33" i="5"/>
  <c r="K33" i="5"/>
  <c r="E22" i="5"/>
  <c r="K22" i="5"/>
  <c r="E23" i="5"/>
  <c r="K23" i="5"/>
  <c r="E30" i="5"/>
  <c r="K30" i="5"/>
  <c r="E31" i="5"/>
  <c r="K31" i="5"/>
  <c r="B14" i="17"/>
  <c r="B21" i="22"/>
  <c r="B21" i="1"/>
  <c r="F12" i="2"/>
  <c r="E12" i="2"/>
  <c r="B39" i="2"/>
  <c r="B44" i="2"/>
  <c r="M14" i="21"/>
  <c r="C24" i="22"/>
  <c r="O17" i="17"/>
  <c r="C24" i="1"/>
  <c r="C17" i="22"/>
  <c r="L15" i="21"/>
  <c r="O10" i="17"/>
  <c r="C71" i="5"/>
  <c r="C17" i="1"/>
  <c r="R8" i="21"/>
  <c r="J8" i="5"/>
  <c r="S8" i="21"/>
  <c r="T8" i="21"/>
  <c r="AF33" i="17"/>
  <c r="H15" i="21"/>
  <c r="Q18" i="15"/>
  <c r="R6" i="21"/>
  <c r="J6" i="5"/>
  <c r="S6" i="21"/>
  <c r="T6" i="21"/>
  <c r="Q20" i="15"/>
  <c r="J56" i="5"/>
  <c r="J61" i="5"/>
  <c r="D61" i="5"/>
  <c r="O16" i="17"/>
  <c r="M16" i="21"/>
  <c r="N16" i="21"/>
  <c r="C23" i="22"/>
  <c r="C23" i="1"/>
  <c r="G38" i="2"/>
  <c r="G39" i="15"/>
  <c r="P9" i="15"/>
  <c r="J39" i="2"/>
  <c r="L17" i="21"/>
  <c r="C14" i="22"/>
  <c r="O7" i="17"/>
  <c r="C14" i="1"/>
  <c r="R5" i="21"/>
  <c r="D36" i="5"/>
  <c r="J5" i="5"/>
  <c r="N38" i="2"/>
  <c r="N39" i="2"/>
  <c r="T30" i="2"/>
  <c r="T32" i="2"/>
  <c r="R38" i="2"/>
  <c r="R39" i="2"/>
  <c r="D41" i="22"/>
  <c r="AC35" i="17"/>
  <c r="D41" i="1"/>
  <c r="D39" i="2"/>
  <c r="D44" i="2"/>
  <c r="G39" i="22"/>
  <c r="L39" i="2"/>
  <c r="P22" i="15"/>
  <c r="Q22" i="15"/>
  <c r="Q21" i="15"/>
  <c r="D45" i="5"/>
  <c r="J38" i="5"/>
  <c r="J45" i="5"/>
  <c r="B43" i="1"/>
  <c r="G52" i="22"/>
  <c r="P6" i="15"/>
  <c r="Q6" i="15"/>
  <c r="Q11" i="15"/>
  <c r="AC37" i="17"/>
  <c r="D43" i="22"/>
  <c r="N14" i="21"/>
  <c r="G39" i="2"/>
  <c r="G44" i="2"/>
  <c r="G45" i="2"/>
  <c r="C9" i="20"/>
  <c r="R16" i="21"/>
  <c r="AC8" i="17"/>
  <c r="D15" i="22"/>
  <c r="D15" i="1"/>
  <c r="H19" i="21"/>
  <c r="C18" i="22"/>
  <c r="N17" i="21"/>
  <c r="N19" i="21"/>
  <c r="N21" i="21"/>
  <c r="N60" i="21"/>
  <c r="R17" i="21"/>
  <c r="D14" i="22"/>
  <c r="AC7" i="17"/>
  <c r="D14" i="1"/>
  <c r="J44" i="2"/>
  <c r="J45" i="2"/>
  <c r="J46" i="2"/>
  <c r="J48" i="2"/>
  <c r="B49" i="2"/>
  <c r="AB8" i="21"/>
  <c r="AB5" i="21"/>
  <c r="AB6" i="21"/>
  <c r="AB7" i="21"/>
  <c r="F43" i="5"/>
  <c r="L43" i="5"/>
  <c r="F41" i="5"/>
  <c r="L41" i="5"/>
  <c r="F68" i="5"/>
  <c r="L68" i="5"/>
  <c r="F67" i="5"/>
  <c r="L67" i="5"/>
  <c r="F66" i="5"/>
  <c r="L66" i="5"/>
  <c r="F65" i="5"/>
  <c r="L65" i="5"/>
  <c r="F64" i="5"/>
  <c r="L64" i="5"/>
  <c r="F63" i="5"/>
  <c r="F44" i="5"/>
  <c r="L44" i="5"/>
  <c r="F15" i="5"/>
  <c r="L15" i="5"/>
  <c r="F7" i="5"/>
  <c r="F28" i="5"/>
  <c r="L28" i="5"/>
  <c r="F42" i="5"/>
  <c r="L42" i="5"/>
  <c r="F10" i="5"/>
  <c r="L10" i="5"/>
  <c r="F38" i="5"/>
  <c r="F13" i="5"/>
  <c r="L13" i="5"/>
  <c r="F5" i="5"/>
  <c r="F8" i="5"/>
  <c r="F40" i="5"/>
  <c r="L40" i="5"/>
  <c r="F11" i="5"/>
  <c r="L11" i="5"/>
  <c r="F12" i="5"/>
  <c r="L12" i="5"/>
  <c r="F39" i="5"/>
  <c r="L39" i="5"/>
  <c r="F14" i="5"/>
  <c r="L14" i="5"/>
  <c r="F6" i="5"/>
  <c r="F20" i="5"/>
  <c r="L20" i="5"/>
  <c r="F9" i="5"/>
  <c r="L9" i="5"/>
  <c r="F22" i="5"/>
  <c r="L22" i="5"/>
  <c r="F50" i="5"/>
  <c r="L50" i="5"/>
  <c r="F56" i="5"/>
  <c r="F51" i="5"/>
  <c r="L51" i="5"/>
  <c r="F19" i="5"/>
  <c r="L19" i="5"/>
  <c r="F52" i="5"/>
  <c r="L52" i="5"/>
  <c r="AE16" i="21"/>
  <c r="F58" i="5"/>
  <c r="L58" i="5"/>
  <c r="F25" i="5"/>
  <c r="L25" i="5"/>
  <c r="F24" i="5"/>
  <c r="L24" i="5"/>
  <c r="F59" i="5"/>
  <c r="L59" i="5"/>
  <c r="F30" i="5"/>
  <c r="L30" i="5"/>
  <c r="F21" i="5"/>
  <c r="L21" i="5"/>
  <c r="F47" i="5"/>
  <c r="F27" i="5"/>
  <c r="L27" i="5"/>
  <c r="F48" i="5"/>
  <c r="L48" i="5"/>
  <c r="F33" i="5"/>
  <c r="L33" i="5"/>
  <c r="F32" i="5"/>
  <c r="L32" i="5"/>
  <c r="F29" i="5"/>
  <c r="L29" i="5"/>
  <c r="F18" i="5"/>
  <c r="L18" i="5"/>
  <c r="F57" i="5"/>
  <c r="L57" i="5"/>
  <c r="F60" i="5"/>
  <c r="L60" i="5"/>
  <c r="F26" i="5"/>
  <c r="L26" i="5"/>
  <c r="F23" i="5"/>
  <c r="L23" i="5"/>
  <c r="F35" i="5"/>
  <c r="L35" i="5"/>
  <c r="F31" i="5"/>
  <c r="L31" i="5"/>
  <c r="F34" i="5"/>
  <c r="L34" i="5"/>
  <c r="F17" i="5"/>
  <c r="L17" i="5"/>
  <c r="F16" i="5"/>
  <c r="L16" i="5"/>
  <c r="F49" i="5"/>
  <c r="L49" i="5"/>
  <c r="S16" i="21"/>
  <c r="T16" i="21"/>
  <c r="AC16" i="17"/>
  <c r="D23" i="22"/>
  <c r="D23" i="1"/>
  <c r="O11" i="17"/>
  <c r="B6" i="20"/>
  <c r="E41" i="22"/>
  <c r="AD35" i="17"/>
  <c r="E41" i="1"/>
  <c r="X6" i="21"/>
  <c r="K6" i="5"/>
  <c r="Y6" i="21"/>
  <c r="Z6" i="21"/>
  <c r="S17" i="21"/>
  <c r="T17" i="21"/>
  <c r="D22" i="22"/>
  <c r="AC15" i="17"/>
  <c r="D22" i="1"/>
  <c r="O14" i="17"/>
  <c r="O19" i="17"/>
  <c r="C21" i="22"/>
  <c r="C26" i="22"/>
  <c r="C40" i="22"/>
  <c r="C45" i="22"/>
  <c r="C21" i="1"/>
  <c r="C26" i="1"/>
  <c r="C40" i="1"/>
  <c r="C45" i="1"/>
  <c r="I71" i="5"/>
  <c r="P10" i="15"/>
  <c r="Q10" i="15"/>
  <c r="Q9" i="15"/>
  <c r="X8" i="21"/>
  <c r="K8" i="5"/>
  <c r="Y8" i="21"/>
  <c r="Z8" i="21"/>
  <c r="N44" i="2"/>
  <c r="N45" i="2"/>
  <c r="N46" i="2"/>
  <c r="N48" i="2"/>
  <c r="D49" i="2"/>
  <c r="B45" i="2"/>
  <c r="B46" i="2"/>
  <c r="K56" i="5"/>
  <c r="K61" i="5"/>
  <c r="E61" i="5"/>
  <c r="E45" i="5"/>
  <c r="K38" i="5"/>
  <c r="K45" i="5"/>
  <c r="N15" i="21"/>
  <c r="D17" i="22"/>
  <c r="R15" i="21"/>
  <c r="AC10" i="17"/>
  <c r="D71" i="5"/>
  <c r="D17" i="1"/>
  <c r="F19" i="19"/>
  <c r="F11" i="1"/>
  <c r="F20" i="19"/>
  <c r="E11" i="1"/>
  <c r="E20" i="19"/>
  <c r="J3" i="3"/>
  <c r="T38" i="2"/>
  <c r="T39" i="2"/>
  <c r="X5" i="21"/>
  <c r="E36" i="5"/>
  <c r="K5" i="5"/>
  <c r="L44" i="2"/>
  <c r="L45" i="2"/>
  <c r="L46" i="2"/>
  <c r="L48" i="2"/>
  <c r="C49" i="2"/>
  <c r="S15" i="21"/>
  <c r="AC18" i="17"/>
  <c r="D25" i="22"/>
  <c r="D25" i="1"/>
  <c r="D24" i="22"/>
  <c r="S14" i="21"/>
  <c r="AC17" i="17"/>
  <c r="D24" i="1"/>
  <c r="G40" i="15"/>
  <c r="X7" i="21"/>
  <c r="K7" i="5"/>
  <c r="Y7" i="21"/>
  <c r="Z7" i="21"/>
  <c r="S5" i="21"/>
  <c r="T5" i="21"/>
  <c r="T9" i="21"/>
  <c r="J36" i="5"/>
  <c r="J71" i="5"/>
  <c r="B26" i="1"/>
  <c r="B40" i="1"/>
  <c r="G3" i="17"/>
  <c r="E4" i="17"/>
  <c r="R48" i="2"/>
  <c r="F49" i="2"/>
  <c r="R44" i="2"/>
  <c r="R45" i="2"/>
  <c r="R46" i="2"/>
  <c r="H39" i="15"/>
  <c r="I39" i="15"/>
  <c r="AC6" i="17"/>
  <c r="D13" i="22"/>
  <c r="D13" i="1"/>
  <c r="B26" i="22"/>
  <c r="B40" i="22"/>
  <c r="H40" i="15"/>
  <c r="D45" i="2"/>
  <c r="D46" i="2"/>
  <c r="D51" i="2"/>
  <c r="B19" i="17"/>
  <c r="B34" i="17"/>
  <c r="D43" i="1"/>
  <c r="D6" i="20"/>
  <c r="AC9" i="17"/>
  <c r="D16" i="22"/>
  <c r="R14" i="21"/>
  <c r="D16" i="1"/>
  <c r="K47" i="5"/>
  <c r="K53" i="5"/>
  <c r="E53" i="5"/>
  <c r="K63" i="5"/>
  <c r="K69" i="5"/>
  <c r="E69" i="5"/>
  <c r="AC4" i="17"/>
  <c r="AE3" i="17"/>
  <c r="AD45" i="17"/>
  <c r="E51" i="22"/>
  <c r="E54" i="22"/>
  <c r="E51" i="1"/>
  <c r="G46" i="2"/>
  <c r="G51" i="2"/>
  <c r="G57" i="2"/>
  <c r="G58" i="2"/>
  <c r="B51" i="2"/>
  <c r="AE4" i="17"/>
  <c r="AD4" i="17"/>
  <c r="F42" i="22"/>
  <c r="AE36" i="17"/>
  <c r="F42" i="1"/>
  <c r="E14" i="22"/>
  <c r="X17" i="21"/>
  <c r="AD7" i="17"/>
  <c r="E14" i="1"/>
  <c r="AD6" i="17"/>
  <c r="E13" i="22"/>
  <c r="E13" i="1"/>
  <c r="E24" i="22"/>
  <c r="Y14" i="21"/>
  <c r="AD17" i="17"/>
  <c r="E24" i="1"/>
  <c r="AD6" i="21"/>
  <c r="L6" i="5"/>
  <c r="AE6" i="21"/>
  <c r="AF6" i="21"/>
  <c r="L63" i="5"/>
  <c r="L69" i="5"/>
  <c r="F69" i="5"/>
  <c r="F53" i="5"/>
  <c r="L47" i="5"/>
  <c r="L53" i="5"/>
  <c r="T44" i="2"/>
  <c r="T45" i="2"/>
  <c r="T46" i="2"/>
  <c r="T48" i="2"/>
  <c r="D18" i="22"/>
  <c r="B45" i="22"/>
  <c r="E17" i="22"/>
  <c r="X15" i="21"/>
  <c r="AD10" i="17"/>
  <c r="E71" i="5"/>
  <c r="E17" i="1"/>
  <c r="D51" i="22"/>
  <c r="D54" i="22"/>
  <c r="AC45" i="17"/>
  <c r="D51" i="1"/>
  <c r="H21" i="21"/>
  <c r="Y5" i="21"/>
  <c r="Z5" i="21"/>
  <c r="Z9" i="21"/>
  <c r="K36" i="5"/>
  <c r="D18" i="1"/>
  <c r="AC11" i="17"/>
  <c r="AE45" i="17"/>
  <c r="F51" i="22"/>
  <c r="F54" i="22"/>
  <c r="F51" i="1"/>
  <c r="T14" i="21"/>
  <c r="T19" i="21"/>
  <c r="T21" i="21"/>
  <c r="T60" i="21"/>
  <c r="E43" i="1"/>
  <c r="E6" i="20"/>
  <c r="G41" i="1"/>
  <c r="AD8" i="21"/>
  <c r="L8" i="5"/>
  <c r="AE8" i="21"/>
  <c r="AF8" i="21"/>
  <c r="F41" i="22"/>
  <c r="G41" i="22"/>
  <c r="AE35" i="17"/>
  <c r="F41" i="1"/>
  <c r="AD5" i="21"/>
  <c r="F36" i="5"/>
  <c r="L5" i="5"/>
  <c r="AD9" i="17"/>
  <c r="E16" i="22"/>
  <c r="X14" i="21"/>
  <c r="E16" i="1"/>
  <c r="H3" i="17"/>
  <c r="F4" i="17"/>
  <c r="B45" i="1"/>
  <c r="F45" i="5"/>
  <c r="L38" i="5"/>
  <c r="L45" i="5"/>
  <c r="Y15" i="21"/>
  <c r="Z15" i="21"/>
  <c r="AD18" i="17"/>
  <c r="K71" i="5"/>
  <c r="E25" i="22"/>
  <c r="E25" i="1"/>
  <c r="D9" i="20"/>
  <c r="C4" i="20"/>
  <c r="C4" i="19"/>
  <c r="C15" i="19"/>
  <c r="C5" i="19"/>
  <c r="C5" i="20"/>
  <c r="C46" i="1"/>
  <c r="E42" i="22"/>
  <c r="E43" i="22"/>
  <c r="AD36" i="17"/>
  <c r="AF36" i="17"/>
  <c r="E42" i="1"/>
  <c r="I40" i="15"/>
  <c r="Y16" i="21"/>
  <c r="AD16" i="17"/>
  <c r="E23" i="22"/>
  <c r="E23" i="1"/>
  <c r="AC14" i="17"/>
  <c r="D21" i="22"/>
  <c r="D21" i="1"/>
  <c r="C46" i="22"/>
  <c r="C47" i="22"/>
  <c r="C49" i="22"/>
  <c r="T15" i="21"/>
  <c r="O34" i="17"/>
  <c r="O39" i="17"/>
  <c r="B51" i="22"/>
  <c r="B54" i="22"/>
  <c r="B45" i="17"/>
  <c r="B51" i="1"/>
  <c r="G49" i="2"/>
  <c r="X16" i="21"/>
  <c r="AD8" i="17"/>
  <c r="E15" i="22"/>
  <c r="E15" i="1"/>
  <c r="AF34" i="17"/>
  <c r="B39" i="17"/>
  <c r="L56" i="5"/>
  <c r="L61" i="5"/>
  <c r="F61" i="5"/>
  <c r="C51" i="22"/>
  <c r="C54" i="22"/>
  <c r="O45" i="17"/>
  <c r="C51" i="1"/>
  <c r="E22" i="22"/>
  <c r="AD15" i="17"/>
  <c r="Y17" i="21"/>
  <c r="Z17" i="21"/>
  <c r="E22" i="1"/>
  <c r="AD7" i="21"/>
  <c r="L7" i="5"/>
  <c r="AE7" i="21"/>
  <c r="AF7" i="21"/>
  <c r="C56" i="22"/>
  <c r="G14" i="1"/>
  <c r="E72" i="21"/>
  <c r="AF45" i="17"/>
  <c r="G51" i="22"/>
  <c r="G54" i="22"/>
  <c r="G51" i="1"/>
  <c r="AE15" i="21"/>
  <c r="AE18" i="17"/>
  <c r="AF18" i="17"/>
  <c r="F25" i="22"/>
  <c r="G25" i="22"/>
  <c r="L71" i="5"/>
  <c r="F25" i="1"/>
  <c r="G25" i="1"/>
  <c r="AE5" i="21"/>
  <c r="AF5" i="21"/>
  <c r="AF9" i="21"/>
  <c r="L36" i="5"/>
  <c r="Z14" i="21"/>
  <c r="AE6" i="17"/>
  <c r="F13" i="22"/>
  <c r="F13" i="1"/>
  <c r="F17" i="22"/>
  <c r="G17" i="22"/>
  <c r="AD15" i="21"/>
  <c r="AE10" i="17"/>
  <c r="AF10" i="17"/>
  <c r="F71" i="5"/>
  <c r="F17" i="1"/>
  <c r="G17" i="1"/>
  <c r="G42" i="22"/>
  <c r="AE17" i="21"/>
  <c r="AE15" i="17"/>
  <c r="AF15" i="17"/>
  <c r="F22" i="22"/>
  <c r="G22" i="22"/>
  <c r="F22" i="1"/>
  <c r="G22" i="1"/>
  <c r="E18" i="1"/>
  <c r="E9" i="20"/>
  <c r="AE9" i="17"/>
  <c r="AF9" i="17"/>
  <c r="AD14" i="21"/>
  <c r="F16" i="22"/>
  <c r="G16" i="22"/>
  <c r="F16" i="1"/>
  <c r="G16" i="1"/>
  <c r="F14" i="22"/>
  <c r="G14" i="22"/>
  <c r="AD17" i="21"/>
  <c r="AE7" i="17"/>
  <c r="AF7" i="17"/>
  <c r="F14" i="1"/>
  <c r="AD37" i="17"/>
  <c r="B46" i="22"/>
  <c r="E18" i="22"/>
  <c r="O40" i="17"/>
  <c r="O41" i="17"/>
  <c r="O43" i="17"/>
  <c r="O46" i="17"/>
  <c r="F24" i="22"/>
  <c r="G24" i="22"/>
  <c r="AE14" i="21"/>
  <c r="AE17" i="17"/>
  <c r="AF17" i="17"/>
  <c r="F24" i="1"/>
  <c r="G24" i="1"/>
  <c r="G43" i="1"/>
  <c r="G13" i="22"/>
  <c r="AD11" i="17"/>
  <c r="Z16" i="21"/>
  <c r="B40" i="17"/>
  <c r="AF39" i="17"/>
  <c r="B4" i="20"/>
  <c r="B4" i="19"/>
  <c r="B5" i="20"/>
  <c r="B46" i="1"/>
  <c r="F43" i="1"/>
  <c r="F6" i="20"/>
  <c r="G6" i="20"/>
  <c r="D26" i="1"/>
  <c r="D40" i="1"/>
  <c r="C30" i="19"/>
  <c r="L64" i="21"/>
  <c r="C8" i="19"/>
  <c r="C47" i="1"/>
  <c r="AE37" i="17"/>
  <c r="AF35" i="17"/>
  <c r="E21" i="22"/>
  <c r="E26" i="22"/>
  <c r="AD14" i="17"/>
  <c r="AD19" i="17"/>
  <c r="E21" i="1"/>
  <c r="E26" i="1"/>
  <c r="G42" i="1"/>
  <c r="C8" i="20"/>
  <c r="C10" i="20"/>
  <c r="C7" i="20"/>
  <c r="AC19" i="17"/>
  <c r="AC34" i="17"/>
  <c r="AC39" i="17"/>
  <c r="C23" i="19"/>
  <c r="C7" i="19"/>
  <c r="C25" i="19"/>
  <c r="I3" i="17"/>
  <c r="G4" i="17"/>
  <c r="H60" i="21"/>
  <c r="AE16" i="17"/>
  <c r="AF16" i="17"/>
  <c r="F23" i="22"/>
  <c r="G23" i="22"/>
  <c r="F23" i="1"/>
  <c r="G23" i="1"/>
  <c r="D26" i="22"/>
  <c r="D40" i="22"/>
  <c r="F43" i="22"/>
  <c r="G43" i="22"/>
  <c r="AE8" i="17"/>
  <c r="AF8" i="17"/>
  <c r="F15" i="22"/>
  <c r="G15" i="22"/>
  <c r="AD16" i="21"/>
  <c r="AF16" i="21"/>
  <c r="F15" i="1"/>
  <c r="G15" i="1"/>
  <c r="AF14" i="21"/>
  <c r="E40" i="1"/>
  <c r="E45" i="1"/>
  <c r="E4" i="19"/>
  <c r="E15" i="19"/>
  <c r="E5" i="19"/>
  <c r="C11" i="20"/>
  <c r="AF15" i="21"/>
  <c r="AC40" i="17"/>
  <c r="AC41" i="17"/>
  <c r="AC43" i="17"/>
  <c r="AC46" i="17"/>
  <c r="F18" i="1"/>
  <c r="G13" i="1"/>
  <c r="G18" i="1"/>
  <c r="F18" i="22"/>
  <c r="AF19" i="21"/>
  <c r="AF21" i="21"/>
  <c r="AF60" i="21"/>
  <c r="AE11" i="17"/>
  <c r="AF6" i="17"/>
  <c r="AF11" i="17"/>
  <c r="B8" i="20"/>
  <c r="B7" i="20"/>
  <c r="B9" i="20"/>
  <c r="Z19" i="21"/>
  <c r="D45" i="1"/>
  <c r="B30" i="19"/>
  <c r="F64" i="21"/>
  <c r="B8" i="19"/>
  <c r="B47" i="1"/>
  <c r="AD34" i="17"/>
  <c r="AD39" i="17"/>
  <c r="B15" i="19"/>
  <c r="B5" i="19"/>
  <c r="F9" i="20"/>
  <c r="D45" i="22"/>
  <c r="E40" i="22"/>
  <c r="E45" i="22"/>
  <c r="F21" i="22"/>
  <c r="AE14" i="17"/>
  <c r="F21" i="1"/>
  <c r="J3" i="17"/>
  <c r="H4" i="17"/>
  <c r="G18" i="22"/>
  <c r="B47" i="22"/>
  <c r="AF37" i="17"/>
  <c r="AF17" i="21"/>
  <c r="C31" i="19"/>
  <c r="C34" i="19"/>
  <c r="C9" i="19"/>
  <c r="C10" i="19"/>
  <c r="N64" i="21"/>
  <c r="N66" i="21"/>
  <c r="N68" i="21"/>
  <c r="C49" i="1"/>
  <c r="C52" i="1"/>
  <c r="B41" i="17"/>
  <c r="AF40" i="17"/>
  <c r="E4" i="20"/>
  <c r="E46" i="1"/>
  <c r="E30" i="19"/>
  <c r="E5" i="20"/>
  <c r="E8" i="20"/>
  <c r="E10" i="20"/>
  <c r="G9" i="20"/>
  <c r="B10" i="20"/>
  <c r="B49" i="22"/>
  <c r="B56" i="22"/>
  <c r="AD40" i="17"/>
  <c r="AD41" i="17"/>
  <c r="AD43" i="17"/>
  <c r="AD46" i="17"/>
  <c r="F26" i="1"/>
  <c r="F40" i="1"/>
  <c r="G21" i="1"/>
  <c r="G26" i="1"/>
  <c r="E46" i="22"/>
  <c r="E47" i="22"/>
  <c r="E49" i="22"/>
  <c r="E56" i="22"/>
  <c r="B23" i="19"/>
  <c r="B7" i="19"/>
  <c r="B31" i="19"/>
  <c r="B9" i="19"/>
  <c r="H64" i="21"/>
  <c r="H66" i="21"/>
  <c r="B49" i="1"/>
  <c r="B52" i="1"/>
  <c r="Z21" i="21"/>
  <c r="E73" i="21"/>
  <c r="D46" i="22"/>
  <c r="AF41" i="17"/>
  <c r="AF43" i="17"/>
  <c r="B43" i="17"/>
  <c r="B46" i="17"/>
  <c r="K3" i="17"/>
  <c r="I4" i="17"/>
  <c r="E23" i="19"/>
  <c r="E7" i="19"/>
  <c r="E25" i="19"/>
  <c r="AE19" i="17"/>
  <c r="AE34" i="17"/>
  <c r="AE39" i="17"/>
  <c r="AF14" i="17"/>
  <c r="AF19" i="17"/>
  <c r="F26" i="22"/>
  <c r="F40" i="22"/>
  <c r="F45" i="22"/>
  <c r="G45" i="22"/>
  <c r="G21" i="22"/>
  <c r="G26" i="22"/>
  <c r="D4" i="20"/>
  <c r="D4" i="19"/>
  <c r="D5" i="20"/>
  <c r="D46" i="1"/>
  <c r="E7" i="20"/>
  <c r="E11" i="20"/>
  <c r="E8" i="19"/>
  <c r="E47" i="1"/>
  <c r="Z64" i="21"/>
  <c r="Z66" i="21"/>
  <c r="X64" i="21"/>
  <c r="D30" i="19"/>
  <c r="R64" i="21"/>
  <c r="D8" i="19"/>
  <c r="D47" i="1"/>
  <c r="D8" i="20"/>
  <c r="D7" i="20"/>
  <c r="D15" i="19"/>
  <c r="D5" i="19"/>
  <c r="AE40" i="17"/>
  <c r="AE41" i="17"/>
  <c r="AE43" i="17"/>
  <c r="AE46" i="17"/>
  <c r="D47" i="22"/>
  <c r="H68" i="21"/>
  <c r="F45" i="1"/>
  <c r="G40" i="1"/>
  <c r="Z60" i="21"/>
  <c r="E96" i="21"/>
  <c r="E75" i="21"/>
  <c r="L3" i="17"/>
  <c r="J4" i="17"/>
  <c r="AF52" i="17"/>
  <c r="AF54" i="17"/>
  <c r="AF46" i="17"/>
  <c r="B11" i="20"/>
  <c r="F46" i="22"/>
  <c r="F47" i="22"/>
  <c r="F49" i="22"/>
  <c r="F56" i="22"/>
  <c r="B25" i="19"/>
  <c r="B10" i="19"/>
  <c r="G40" i="22"/>
  <c r="E49" i="1"/>
  <c r="E52" i="1"/>
  <c r="E9" i="19"/>
  <c r="E10" i="19"/>
  <c r="E31" i="19"/>
  <c r="E34" i="19"/>
  <c r="Z68" i="21"/>
  <c r="B34" i="19"/>
  <c r="D31" i="19"/>
  <c r="D9" i="19"/>
  <c r="T64" i="21"/>
  <c r="T66" i="21"/>
  <c r="D49" i="1"/>
  <c r="D52" i="1"/>
  <c r="D10" i="20"/>
  <c r="M3" i="17"/>
  <c r="K4" i="17"/>
  <c r="D23" i="19"/>
  <c r="D7" i="19"/>
  <c r="D25" i="19"/>
  <c r="F4" i="19"/>
  <c r="F5" i="20"/>
  <c r="F4" i="20"/>
  <c r="G4" i="20"/>
  <c r="F46" i="1"/>
  <c r="G45" i="1"/>
  <c r="G47" i="22"/>
  <c r="G49" i="22"/>
  <c r="D49" i="22"/>
  <c r="D56" i="22"/>
  <c r="G46" i="22"/>
  <c r="G63" i="22"/>
  <c r="G65" i="22"/>
  <c r="G56" i="22"/>
  <c r="F15" i="19"/>
  <c r="F5" i="19"/>
  <c r="G4" i="19"/>
  <c r="D11" i="20"/>
  <c r="D10" i="19"/>
  <c r="N3" i="17"/>
  <c r="M4" i="17"/>
  <c r="L4" i="17"/>
  <c r="D34" i="19"/>
  <c r="E37" i="16"/>
  <c r="T68" i="21"/>
  <c r="AD64" i="21"/>
  <c r="F30" i="19"/>
  <c r="F8" i="19"/>
  <c r="G8" i="19"/>
  <c r="F47" i="1"/>
  <c r="G46" i="1"/>
  <c r="F8" i="20"/>
  <c r="F7" i="20"/>
  <c r="G5" i="20"/>
  <c r="G7" i="20"/>
  <c r="F10" i="20"/>
  <c r="G8" i="20"/>
  <c r="F23" i="19"/>
  <c r="B38" i="19"/>
  <c r="F7" i="19"/>
  <c r="F25" i="19"/>
  <c r="B40" i="19"/>
  <c r="G5" i="19"/>
  <c r="G7" i="19"/>
  <c r="F31" i="19"/>
  <c r="F9" i="19"/>
  <c r="AF64" i="21"/>
  <c r="AF66" i="21"/>
  <c r="F49" i="1"/>
  <c r="F52" i="1"/>
  <c r="G47" i="1"/>
  <c r="G49" i="1"/>
  <c r="E38" i="16"/>
  <c r="E39" i="16"/>
  <c r="H57" i="1"/>
  <c r="G52" i="1"/>
  <c r="AF68" i="21"/>
  <c r="E98" i="21"/>
  <c r="E100" i="21"/>
  <c r="E97" i="21"/>
  <c r="F10" i="19"/>
  <c r="G9" i="19"/>
  <c r="G10" i="19"/>
  <c r="F34" i="19"/>
  <c r="B42" i="19"/>
  <c r="B41" i="19"/>
  <c r="F11" i="20"/>
  <c r="G10" i="20"/>
  <c r="G11"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John Sites</author>
  </authors>
  <commentList>
    <comment ref="A29" authorId="0" shapeId="0" xr:uid="{00000000-0006-0000-0000-000001000000}">
      <text>
        <r>
          <rPr>
            <sz val="11"/>
            <color theme="1"/>
            <rFont val="Calibri"/>
            <family val="2"/>
            <scheme val="minor"/>
          </rPr>
          <t xml:space="preserve">tangible personal property (including information technology systems) having a useful life of more than one year and a per-unit acquisition cost which equals or exceeds the lesser of the capitalization level established by the non-Federal entity for financial statement purposes, or $5,000. </t>
        </r>
      </text>
    </comment>
    <comment ref="A33" authorId="0" shapeId="0" xr:uid="{00000000-0006-0000-0000-000002000000}">
      <text>
        <r>
          <rPr>
            <sz val="11"/>
            <color theme="1"/>
            <rFont val="Calibri"/>
            <family val="2"/>
            <scheme val="minor"/>
          </rPr>
          <t xml:space="preserve">Typically reflects compensation, in the form of honoraria or expense reimbursement, in connection with service to professional associations, service on review panels, presentation of scholarly works, and participation in accreditation reviews. </t>
        </r>
      </text>
    </comment>
    <comment ref="A34" authorId="0" shapeId="0" xr:uid="{00000000-0006-0000-0000-000003000000}">
      <text>
        <r>
          <rPr>
            <sz val="11"/>
            <color theme="1"/>
            <rFont val="Calibri"/>
            <family val="2"/>
            <scheme val="minor"/>
          </rPr>
          <t xml:space="preserve">tangible personal property other than those described in the definition of equipment. A computing device is a supply if the acquisition cost is less than the lesser of the capitalization level established by the non-Federal entity for financial statement purposes or $5,000, regardless of the length of its useful life. </t>
        </r>
      </text>
    </comment>
    <comment ref="A43" authorId="0" shapeId="0" xr:uid="{00000000-0006-0000-0000-000004000000}">
      <text>
        <r>
          <rPr>
            <sz val="11"/>
            <color theme="1"/>
            <rFont val="Calibri"/>
            <family val="2"/>
            <scheme val="minor"/>
          </rPr>
          <t>John Sites:
11.Subawards An external or outgoing subaward is a document issued by the University that formalizes a collaborative research relationship with a third party to perform substantive sponsored project services under a Sponsored Award made to the University. Such costs are allowable as direct costs to sponsored program projects. All subawards must be made in accordance with University and sponsor regulations. The first $25,000 charged for each subaward is subject to F&amp;A calculation and recovery</t>
        </r>
      </text>
    </comment>
    <comment ref="A46" authorId="0" shapeId="0" xr:uid="{00000000-0006-0000-0000-000005000000}">
      <text>
        <r>
          <rPr>
            <sz val="11"/>
            <color theme="1"/>
            <rFont val="Calibri"/>
            <family val="2"/>
            <scheme val="minor"/>
          </rPr>
          <t>MTDC means all direct salaries and wages, applicable fringe benefits, materials and supplies, services, travel, and up to the first $25,000 of each subaward (regardless of the period of performance of the subawards under the award). 
MTDC excludes equipment, capital expenditures, charges for patient care, rental costs, tuition remission, scholarships and fellowships, participant support costs and the portion of each subaward in excess of $25,000.</t>
        </r>
      </text>
    </comment>
    <comment ref="A47" authorId="0" shapeId="0" xr:uid="{00000000-0006-0000-0000-000006000000}">
      <text>
        <r>
          <rPr>
            <sz val="11"/>
            <color theme="1"/>
            <rFont val="Calibri"/>
            <family val="2"/>
            <scheme val="minor"/>
          </rPr>
          <t>John Sites:
Facilities and administrative costs (F&amp;A) costs are those that are incurred for common or joint objectives and therefore cannot be identified readily and specifically with a particular sponsored project, an instructional activity, or any other institutional activity.</t>
        </r>
      </text>
    </comment>
    <comment ref="A51" authorId="0" shapeId="0" xr:uid="{00000000-0006-0000-0000-000007000000}">
      <text>
        <r>
          <rPr>
            <sz val="11"/>
            <color theme="1"/>
            <rFont val="Calibri"/>
            <family val="2"/>
            <scheme val="minor"/>
          </rPr>
          <t>John Sites:
Cost Share reflects the costs of the project that are borne by the Recipient and NOT by the Sponsor. These costs may represent mandatory, voluntary, committed or uncommitted cost sharing.</t>
        </r>
      </text>
    </comment>
    <comment ref="A62" authorId="0" shapeId="0" xr:uid="{00000000-0006-0000-0000-000008000000}">
      <text>
        <r>
          <rPr>
            <sz val="11"/>
            <color theme="1"/>
            <rFont val="Calibri"/>
            <family val="2"/>
            <scheme val="minor"/>
          </rPr>
          <t>Research and scholarship activities include the rigorous inquiry, experiment or investigation to increase the scholarly understanding of the involved discipline. Organized research activities are funded by both external sponsors (Sponsored Research) and by NCCU (University Research), and must be separately budgeted and accounted for. Together, these categories comprise the Organized Research distribution base, used to calculate the Organized Research Indirect (F&amp;A) rate</t>
        </r>
      </text>
    </comment>
    <comment ref="A65" authorId="0" shapeId="0" xr:uid="{00000000-0006-0000-0000-000009000000}">
      <text>
        <r>
          <rPr>
            <sz val="11"/>
            <color theme="1"/>
            <rFont val="Calibri"/>
            <family val="2"/>
            <scheme val="minor"/>
          </rPr>
          <t>Sponsored Instruction is defined as teaching and training activities funded by grants and contracts from federal or non-federal sponsors. Sponsored Instruction includes agreements which support curriculum development as well as teaching/training activities (other than research training) whether offered for credit toward a degree or certificate, on a non-credit basis, or through regular academic departments or by separate divisions, summer school, or external division.
Sponsored Instruction includes:
curriculum development projects at any level, including projects which involve evaluation of curriculum or teaching methods; such evaluation may be considered "research" only when the preponderance of activity is data collection, evaluation, and reporting projects which involve NCCU students in community service activities for which the NCCCU students are receiving academic credit
general support for the writing of textbooks or reference books, video, or software to be used as instructional materials.
Cost sharing expenditures which are committed to be borne by NCCU rather than by the sponsor must be included in the Sponsored Instruction base when the related sponsored activity is instruction.</t>
        </r>
      </text>
    </comment>
    <comment ref="A67" authorId="0" shapeId="0" xr:uid="{00000000-0006-0000-0000-00000A000000}">
      <text>
        <r>
          <rPr>
            <sz val="11"/>
            <color theme="1"/>
            <rFont val="Calibri"/>
            <family val="2"/>
            <scheme val="minor"/>
          </rPr>
          <t xml:space="preserve">Other Sponsored Activities (OSA) are defined as projects funded by sponsors that involve the performance of work other than Sponsored Instruction or Sponsored Research.
OSA may include:
- Travel grants
- Support for conferences or seminars Support for University public events, 
- Publications by NCCU Press, 
- Support for students, staff, or teachers in elementary or secondary schools, or the general public, through outreach-related activities 
- Projects that involve NCCU faculty, staff, or students in community service activities (where the NCCU students are not receiving academic credit for their involvement)
- Support for projects pertaining to library collections, acquisitions, bibliographies, or cataloging
- Programs to enhance institutional resources, including data center expansion, computer enhancements, etc.
- Cost sharing expenditures which are committed to be borne by NCCU rather than by the sponsor must be included in the Other Sponsored Activity base when the related sponsored activity is OSA.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John Sites</author>
  </authors>
  <commentList>
    <comment ref="H1" authorId="0" shapeId="0" xr:uid="{00000000-0006-0000-0400-000001000000}">
      <text>
        <r>
          <rPr>
            <sz val="11"/>
            <color theme="1"/>
            <rFont val="Calibri"/>
            <family val="2"/>
            <scheme val="minor"/>
          </rPr>
          <t>John Sites:
8,001- 20,000 @ 91.61%
20,001- 40,000 @ 63.14%
40,001- 60,000 @ 42.80%
60,001- 80,000 @ 35.18%
80,001- 100,000 @ 31.12%
100,001- 148,000 @ 27.66%</t>
        </r>
      </text>
    </comment>
    <comment ref="H75" authorId="0" shapeId="0" xr:uid="{00000000-0006-0000-0400-000002000000}">
      <text>
        <r>
          <rPr>
            <sz val="11"/>
            <color theme="1"/>
            <rFont val="Calibri"/>
            <family val="2"/>
            <scheme val="minor"/>
          </rPr>
          <t>John Sites:
8,001- 20,000 @ 91.61%
20,001- 40,000 @ 63.14%
40,001- 60,000 @ 42.80%
60,001- 80,000 @ 35.18%
80,001- 100,000 @ 31.12%
100,001- 148,000 @ 27.66%</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Sites</author>
  </authors>
  <commentList>
    <comment ref="A3" authorId="0" shapeId="0" xr:uid="{00000000-0006-0000-0700-000001000000}">
      <text>
        <r>
          <rPr>
            <sz val="11"/>
            <color theme="1"/>
            <rFont val="Calibri"/>
            <family val="2"/>
            <scheme val="minor"/>
          </rPr>
          <t>All travel costs must be consistent with NCCU and State of NC Travel Policy</t>
        </r>
      </text>
    </comment>
    <comment ref="C3" authorId="0" shapeId="0" xr:uid="{00000000-0006-0000-0700-000002000000}">
      <text>
        <r>
          <rPr>
            <sz val="11"/>
            <color theme="1"/>
            <rFont val="Calibri"/>
            <family val="2"/>
            <scheme val="minor"/>
          </rPr>
          <t>5.1   In-State travel means all travel within the State of North Carolina.
5.2   Out-of-State means all travel out-of-state but within the continental United States.</t>
        </r>
      </text>
    </comment>
    <comment ref="D3" authorId="0" shapeId="0" xr:uid="{00000000-0006-0000-0700-000003000000}">
      <text>
        <r>
          <rPr>
            <sz val="11"/>
            <color theme="1"/>
            <rFont val="Calibri"/>
            <family val="2"/>
            <scheme val="minor"/>
          </rPr>
          <t>5.3   Out-of-Country travel means all travel outside the continental United States. Out-of-Country travel begins when the employee/student leaves the country and remains in effect until the employee/student returns to the country.</t>
        </r>
      </text>
    </comment>
    <comment ref="M3" authorId="0" shapeId="0" xr:uid="{00000000-0006-0000-0700-000004000000}">
      <text>
        <r>
          <rPr>
            <sz val="11"/>
            <color theme="1"/>
            <rFont val="Calibri"/>
            <family val="2"/>
            <scheme val="minor"/>
          </rPr>
          <t xml:space="preserve">11.10.2.1 In–State: see State Budget Manual for all meal per diems.
11.10.2.2 Out-of-State: see State Budget Manual for all meal per diems.
11.10.2.3 International: An employee will be reimbursed the Federal rates when they are traveling internationally.  Please contact the Travel Office to obtain reimbursement rates for foreign travel meals and/or go on-line to U.S. Department of the State.
11.11   Other Meal Reimbursement Regulations
11.11.1  Reimbursement for meals shall not exceed the in-state limits when traveling in state or the out-of-state limits when traveling out-of-state.
11.11.2  Reimbursement rates listed above include tips.
11.11.3  An employee may be reimbursed for breakfast even if their lodging establishment offers free continental breakfast.
11.11.4  State rules and guidelines shall take precedence over federal guidelines governing the use of federal grant funds, unless specifically exempted by OSBM in advance.
Agency heads may choose to reimburse lodging and meals expenditures at the standard state subsistence rates or request authorization to set agency-specific rates up to the U.S. General Service Administration’s (GSA) subsistence rates. </t>
        </r>
      </text>
    </comment>
    <comment ref="N3" authorId="0" shapeId="0" xr:uid="{00000000-0006-0000-0700-000005000000}">
      <text>
        <r>
          <rPr>
            <sz val="11"/>
            <color theme="1"/>
            <rFont val="Calibri"/>
            <family val="2"/>
            <scheme val="minor"/>
          </rPr>
          <t xml:space="preserve">11.2.4  Reimbursement rates for lodging differ depending on whether travel is In-state or Out-of-State.  Please see the latest rates at State Budget Manual.
Agency heads have the authority to grant excess lodging reimbursements above the standard state rates or the agency-specific rates as applicable per Section 5.2.1. Excess lodging authorization for in-state, out-of-state, and out-of-country travel must be obtained in advance from the agency head or their designee. </t>
        </r>
      </text>
    </comment>
    <comment ref="O3" authorId="0" shapeId="0" xr:uid="{00000000-0006-0000-0700-000006000000}">
      <text>
        <r>
          <rPr>
            <sz val="11"/>
            <color theme="1"/>
            <rFont val="Calibri"/>
            <family val="2"/>
            <scheme val="minor"/>
          </rPr>
          <t>15.3.1  Allowable Use of a Rental Vehicle
15.3.1.1  A rental vehicle (to be picked up at the destination or away from the duty station) should be used by a Traveler only when absolutely essential to conduct state business and when no alternative mode of transportation is practical.
15.3.1.3  No reimbursement will be made to a Traveler for rental insurance purchased because state employees are covered under the State’s auto insurance program.
15.3.1.5  The employee must provide written justification for use of rental vehicles. The Travel Office has to pre-approve all rental vehicles to be reimbursed.</t>
        </r>
      </text>
    </comment>
    <comment ref="P3" authorId="0" shapeId="0" xr:uid="{00000000-0006-0000-0700-000007000000}">
      <text>
        <r>
          <rPr>
            <sz val="11"/>
            <color theme="1"/>
            <rFont val="Calibri"/>
            <family val="2"/>
            <scheme val="minor"/>
          </rPr>
          <t>15.2.1.2  A state employee shall be reimbursed the business standard mileage rate set by the Internal Revenue Service (IRS Mileage Rate) when using their personal vehicle for state business when the round trip does not exceed 100 miles.  
15.2.1.3  If a state employee chooses to use a personal vehicle when the round trip exceeds 100 miles, all departments and agencies will reimburse the employee at a lesser rate per mile as defined in the state budget manual (State Budget Manual).</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Sites, John</author>
  </authors>
  <commentList>
    <comment ref="M7" authorId="0" shapeId="0" xr:uid="{00000000-0006-0000-0A00-000001000000}">
      <text>
        <r>
          <rPr>
            <sz val="11"/>
            <color theme="1"/>
            <rFont val="Calibri"/>
            <family val="2"/>
            <scheme val="minor"/>
          </rPr>
          <t xml:space="preserve">Sites, John:
http://finance.unc.edu/saur/student-account-services/tuition-and-fees/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John Sites</author>
  </authors>
  <commentList>
    <comment ref="A2" authorId="0" shapeId="0" xr:uid="{00000000-0006-0000-0B00-000001000000}">
      <text>
        <r>
          <rPr>
            <sz val="11"/>
            <color theme="1"/>
            <rFont val="Calibri"/>
            <family val="2"/>
            <scheme val="minor"/>
          </rPr>
          <t>Per NCCU Policy, participant support costs means direct costs for items such as stipends or subsistence allowances, travel allowances, and registration fees paid to or on behalf of participants or trainees (but not employees) in connection with conferences, or training projects.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John Sites</author>
  </authors>
  <commentList>
    <comment ref="A5" authorId="0" shapeId="0" xr:uid="{00000000-0006-0000-1000-000001000000}">
      <text>
        <r>
          <rPr>
            <sz val="11"/>
            <color theme="1"/>
            <rFont val="Calibri"/>
            <family val="2"/>
            <scheme val="minor"/>
          </rPr>
          <t xml:space="preserve">John Sites:
1.Personnel
 The salaries and wages of University employees directly associated with the sponsored program project are considered direct costs. These costs should be charged to the project in proportion to the percent of each employee's effort expended on the program during each pay period except for that portion which may be applied to cost sharing. Salaries (F/T faculty) Salaries (permanent P/T faculty)
Wages (P/T faculty)
Wages (daily, hourly employees, UVa temps)
Student Wages (hourly)
</t>
        </r>
      </text>
    </comment>
    <comment ref="A13" authorId="0" shapeId="0" xr:uid="{00000000-0006-0000-1000-000002000000}">
      <text>
        <r>
          <rPr>
            <sz val="11"/>
            <color theme="1"/>
            <rFont val="Calibri"/>
            <family val="2"/>
            <scheme val="minor"/>
          </rPr>
          <t>John Sites:
2.Employee Benefits
 The employer's cost of fringe benefits is considered a direct cost and is charged to sponsored programs based on a federally approved percentage of salaries and wages. These composite rates include the cost of the University and State retirement programs, health insurance, group life insurance, social security, disability insurance, workmen's compensation, and unemployment compensation. The current negotiated rates to be applied to budgeted salaries and wages can be found at the OSP website.
 NOTE: Graduate Research Assistant health insurance costs are budgeted under Other Direct Costs and are subject to F&amp;A charges.</t>
        </r>
      </text>
    </comment>
    <comment ref="A22" authorId="0" shapeId="0" xr:uid="{00000000-0006-0000-1000-000003000000}">
      <text>
        <r>
          <rPr>
            <sz val="11"/>
            <color theme="1"/>
            <rFont val="Calibri"/>
            <family val="2"/>
            <scheme val="minor"/>
          </rPr>
          <t>John Sites:
9705 - Equipment // Non-technology items which individually cost $5,000 or more</t>
        </r>
      </text>
    </comment>
    <comment ref="A23" authorId="0" shapeId="0" xr:uid="{00000000-0006-0000-1000-000004000000}">
      <text>
        <r>
          <rPr>
            <sz val="11"/>
            <color theme="1"/>
            <rFont val="Calibri"/>
            <family val="2"/>
            <scheme val="minor"/>
          </rPr>
          <t xml:space="preserve">John Sites:
938280 Travel - Faculty/Staff - Domestic 
938283 - Travel - Faculty/Staff -International 
</t>
        </r>
      </text>
    </comment>
    <comment ref="A27" authorId="0" shapeId="0" xr:uid="{00000000-0006-0000-1000-000005000000}">
      <text>
        <r>
          <rPr>
            <sz val="11"/>
            <color theme="1"/>
            <rFont val="Calibri"/>
            <family val="2"/>
            <scheme val="minor"/>
          </rPr>
          <t>John Sites:
9370 - Supplies // Expendable supply items, professional subscriptions; consumable items that have a useful life expectancy of less than a year</t>
        </r>
      </text>
    </comment>
    <comment ref="A29" authorId="0" shapeId="0" xr:uid="{00000000-0006-0000-1000-000006000000}">
      <text>
        <r>
          <rPr>
            <sz val="11"/>
            <color theme="1"/>
            <rFont val="Calibri"/>
            <family val="2"/>
            <scheme val="minor"/>
          </rPr>
          <t xml:space="preserve">John Sites:
9318 Contract Services
934080
Honorarium &amp; Professional Fees -
Domestic 
934083
Honorarium &amp; Professional Fees -
International 
</t>
        </r>
      </text>
    </comment>
    <comment ref="A37" authorId="0" shapeId="0" xr:uid="{00000000-0006-0000-1000-000007000000}">
      <text>
        <r>
          <rPr>
            <sz val="11"/>
            <color theme="1"/>
            <rFont val="Calibri"/>
            <family val="2"/>
            <scheme val="minor"/>
          </rPr>
          <t>John Sites:
11.Subawards An external or outgoing subaward is a document issued by the University that formalizes a collaborative research relationship with a third party to perform substantive sponsored project services under a Sponsored Award made to the University. Such costs are allowable as direct costs to sponsored program projects. All subawards must be made in accordance with University and sponsor regulations. The first $25,000 charged for each subaward is subject to F&amp;A calculation and recovery</t>
        </r>
      </text>
    </comment>
    <comment ref="A41" authorId="0" shapeId="0" xr:uid="{00000000-0006-0000-1000-000008000000}">
      <text>
        <r>
          <rPr>
            <sz val="11"/>
            <color theme="1"/>
            <rFont val="Calibri"/>
            <family val="2"/>
            <scheme val="minor"/>
          </rPr>
          <t>John Sites:
Facilities and administrative costs (F&amp;A) costs are those that are incurred for common or joint objectives and therefore cannot be identified readily and specifically with a particular sponsored project, an instructional activity, or any other institutional activity.</t>
        </r>
      </text>
    </comment>
    <comment ref="A45" authorId="0" shapeId="0" xr:uid="{00000000-0006-0000-1000-000009000000}">
      <text>
        <r>
          <rPr>
            <sz val="11"/>
            <color theme="1"/>
            <rFont val="Calibri"/>
            <family val="2"/>
            <scheme val="minor"/>
          </rPr>
          <t>John Sites:
Cost Share reflects the costs of the project that are borne by the Recipient and NOT by the Sponsor. These costs may represent mandatory, voluntary, committed or uncommitted cost sharing.</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John Sites</author>
  </authors>
  <commentList>
    <comment ref="A12" authorId="0" shapeId="0" xr:uid="{00000000-0006-0000-1500-000001000000}">
      <text>
        <r>
          <rPr>
            <sz val="11"/>
            <color theme="1"/>
            <rFont val="Calibri"/>
            <family val="2"/>
            <scheme val="minor"/>
          </rPr>
          <t xml:space="preserve">John Sites:
1.Personnel
 The salaries and wages of University employees directly associated with the sponsored program project are considered direct costs. These costs should be charged to the project in proportion to the percent of each employee's effort expended on the program during each pay period except for that portion which may be applied to cost sharing. Salaries (F/T faculty) Salaries (permanent P/T faculty)
Wages (P/T faculty)
Wages (daily, hourly employees, UVa temps)
Student Wages (hourly)
</t>
        </r>
      </text>
    </comment>
    <comment ref="A20" authorId="0" shapeId="0" xr:uid="{00000000-0006-0000-1500-000002000000}">
      <text>
        <r>
          <rPr>
            <sz val="11"/>
            <color theme="1"/>
            <rFont val="Calibri"/>
            <family val="2"/>
            <scheme val="minor"/>
          </rPr>
          <t>John Sites:
2.Employee Benefits
 The employer's cost of fringe benefits is considered a direct cost and is charged to sponsored programs based on a federally approved percentage of salaries and wages. These composite rates include the cost of the University and State retirement programs, health insurance, group life insurance, social security, disability insurance, workmen's compensation, and unemployment compensation. The current negotiated rates to be applied to budgeted salaries and wages can be found at the OSP website.
 NOTE: Graduate Research Assistant health insurance costs are budgeted under Other Direct Costs and are subject to F&amp;A charges.</t>
        </r>
      </text>
    </comment>
    <comment ref="A29" authorId="0" shapeId="0" xr:uid="{00000000-0006-0000-1500-000003000000}">
      <text>
        <r>
          <rPr>
            <sz val="11"/>
            <color theme="1"/>
            <rFont val="Calibri"/>
            <family val="2"/>
            <scheme val="minor"/>
          </rPr>
          <t>John Sites:
9705 - Equipment // Non-technology items which individually cost $5,000 or more</t>
        </r>
      </text>
    </comment>
    <comment ref="A30" authorId="0" shapeId="0" xr:uid="{00000000-0006-0000-1500-000004000000}">
      <text>
        <r>
          <rPr>
            <sz val="11"/>
            <color theme="1"/>
            <rFont val="Calibri"/>
            <family val="2"/>
            <scheme val="minor"/>
          </rPr>
          <t xml:space="preserve">John Sites:
938280 Travel - Faculty/Staff - Domestic 
938283 - Travel - Faculty/Staff -International 
</t>
        </r>
      </text>
    </comment>
    <comment ref="A34" authorId="0" shapeId="0" xr:uid="{00000000-0006-0000-1500-000005000000}">
      <text>
        <r>
          <rPr>
            <sz val="11"/>
            <color theme="1"/>
            <rFont val="Calibri"/>
            <family val="2"/>
            <scheme val="minor"/>
          </rPr>
          <t>John Sites:
9370 - Supplies // Expendable supply items, professional subscriptions; consumable items that have a useful life expectancy of less than a year</t>
        </r>
      </text>
    </comment>
    <comment ref="A35" authorId="0" shapeId="0" xr:uid="{00000000-0006-0000-1500-000006000000}">
      <text>
        <r>
          <rPr>
            <sz val="11"/>
            <color theme="1"/>
            <rFont val="Calibri"/>
            <family val="2"/>
            <scheme val="minor"/>
          </rPr>
          <t xml:space="preserve">John Sites:
9318 Contract Services
934080
Honorarium &amp; Professional Fees -
Domestic 
934083
Honorarium &amp; Professional Fees -
International 
</t>
        </r>
      </text>
    </comment>
    <comment ref="A43" authorId="0" shapeId="0" xr:uid="{00000000-0006-0000-1500-000007000000}">
      <text>
        <r>
          <rPr>
            <sz val="11"/>
            <color theme="1"/>
            <rFont val="Calibri"/>
            <family val="2"/>
            <scheme val="minor"/>
          </rPr>
          <t>John Sites:
11.Subawards An external or outgoing subaward is a document issued by the University that formalizes a collaborative research relationship with a third party to perform substantive sponsored project services under a Sponsored Award made to the University. Such costs are allowable as direct costs to sponsored program projects. All subawards must be made in accordance with University and sponsor regulations. The first $25,000 charged for each subaward is subject to F&amp;A calculation and recovery</t>
        </r>
      </text>
    </comment>
    <comment ref="A47" authorId="0" shapeId="0" xr:uid="{00000000-0006-0000-1500-000008000000}">
      <text>
        <r>
          <rPr>
            <sz val="11"/>
            <color theme="1"/>
            <rFont val="Calibri"/>
            <family val="2"/>
            <scheme val="minor"/>
          </rPr>
          <t>John Sites:
Facilities and administrative costs (F&amp;A) costs are those that are incurred for common or joint objectives and therefore cannot be identified readily and specifically with a particular sponsored project, an instructional activity, or any other institutional activity.</t>
        </r>
      </text>
    </comment>
    <comment ref="A49" authorId="0" shapeId="0" xr:uid="{00000000-0006-0000-1500-000009000000}">
      <text>
        <r>
          <rPr>
            <sz val="11"/>
            <color theme="1"/>
            <rFont val="Calibri"/>
            <family val="2"/>
            <scheme val="minor"/>
          </rPr>
          <t>John Sites:
Costs included in the Sponsor budget that will be invoiced and/or reimbursed.</t>
        </r>
      </text>
    </comment>
    <comment ref="A51" authorId="0" shapeId="0" xr:uid="{00000000-0006-0000-1500-00000A000000}">
      <text>
        <r>
          <rPr>
            <sz val="11"/>
            <color theme="1"/>
            <rFont val="Calibri"/>
            <family val="2"/>
            <scheme val="minor"/>
          </rPr>
          <t>John Sites:
These costs represent mandatory, and/or voluntary committed cost sharing that MUST be tracked and reported to the Sponsor.</t>
        </r>
      </text>
    </comment>
    <comment ref="A52" authorId="0" shapeId="0" xr:uid="{00000000-0006-0000-1500-00000B000000}">
      <text>
        <r>
          <rPr>
            <sz val="11"/>
            <color theme="1"/>
            <rFont val="Calibri"/>
            <family val="2"/>
            <scheme val="minor"/>
          </rPr>
          <t>John Sites:
These are tuition costs committed by Baylor in support of the Project that do NOT need to be tracked or reported to the Sponsor.</t>
        </r>
      </text>
    </comment>
    <comment ref="A54" authorId="0" shapeId="0" xr:uid="{00000000-0006-0000-1500-00000C000000}">
      <text>
        <r>
          <rPr>
            <sz val="11"/>
            <color theme="1"/>
            <rFont val="Calibri"/>
            <family val="2"/>
            <scheme val="minor"/>
          </rPr>
          <t>John Sites:
All funds committed by Baylor in support of the Project</t>
        </r>
      </text>
    </comment>
    <comment ref="A56" authorId="0" shapeId="0" xr:uid="{00000000-0006-0000-1500-00000D000000}">
      <text>
        <r>
          <rPr>
            <sz val="11"/>
            <color theme="1"/>
            <rFont val="Calibri"/>
            <family val="2"/>
            <scheme val="minor"/>
          </rPr>
          <t>John Sites:
All Sponsor costs to be invoiced and ALL Baylor Cost Sharing</t>
        </r>
      </text>
    </comment>
  </commentList>
</comments>
</file>

<file path=xl/sharedStrings.xml><?xml version="1.0" encoding="utf-8"?>
<sst xmlns="http://schemas.openxmlformats.org/spreadsheetml/2006/main" count="1239" uniqueCount="486">
  <si>
    <t>NCCU Travel Policy</t>
  </si>
  <si>
    <t>Here</t>
  </si>
  <si>
    <t>State Travel Policy</t>
  </si>
  <si>
    <t>Destination</t>
  </si>
  <si>
    <t>Purpose</t>
  </si>
  <si>
    <t>In-State</t>
  </si>
  <si>
    <t>Foreign/ Domestic</t>
  </si>
  <si>
    <t>Year 1 # Trips</t>
  </si>
  <si>
    <t>Year 2 # Trips</t>
  </si>
  <si>
    <t>Year 3 # Trips</t>
  </si>
  <si>
    <t>Year 4 # Trips</t>
  </si>
  <si>
    <t>Year 5 # Trips</t>
  </si>
  <si>
    <t>Estimated Duration</t>
  </si>
  <si>
    <t># People</t>
  </si>
  <si>
    <t>Estimated Airfare</t>
  </si>
  <si>
    <t>Per Diem / Meals</t>
  </si>
  <si>
    <t>Estimated Daily Lodging</t>
  </si>
  <si>
    <t>Estimated Daily Car Rental</t>
  </si>
  <si>
    <t>Estimated Mileage</t>
  </si>
  <si>
    <t>Misc. Other</t>
  </si>
  <si>
    <t>Total Estimated Cost</t>
  </si>
  <si>
    <t>Comments</t>
  </si>
  <si>
    <t>Estimated Total</t>
  </si>
  <si>
    <t>Domestic</t>
  </si>
  <si>
    <t>Foreign</t>
  </si>
  <si>
    <t>Cost Share</t>
  </si>
  <si>
    <t>Total Travel</t>
  </si>
  <si>
    <t>Foreign Travel</t>
  </si>
  <si>
    <t>Conference</t>
  </si>
  <si>
    <t>Sponsor Mtg</t>
  </si>
  <si>
    <t>Project Travel</t>
  </si>
  <si>
    <t>Cost Share Travel</t>
  </si>
  <si>
    <t>Other</t>
  </si>
  <si>
    <t>Yes</t>
  </si>
  <si>
    <t>No</t>
  </si>
  <si>
    <t>Sponsor Budget</t>
  </si>
  <si>
    <t>Principal Investigator</t>
  </si>
  <si>
    <t>Project Title</t>
  </si>
  <si>
    <t>Sponsor</t>
  </si>
  <si>
    <t>Prime Sponsor</t>
  </si>
  <si>
    <t>Period of Performance</t>
  </si>
  <si>
    <t>Start</t>
  </si>
  <si>
    <t>End</t>
  </si>
  <si>
    <t>Proposal No.</t>
  </si>
  <si>
    <t>Budget Period</t>
  </si>
  <si>
    <t>Year 1</t>
  </si>
  <si>
    <t>Year 2</t>
  </si>
  <si>
    <t>Year 3</t>
  </si>
  <si>
    <t>Year 4</t>
  </si>
  <si>
    <t>Year 5</t>
  </si>
  <si>
    <t>Total Cost</t>
  </si>
  <si>
    <t>Labor Dollars</t>
  </si>
  <si>
    <t>Faculty</t>
  </si>
  <si>
    <t>F/T Regular Employee (Staff)</t>
  </si>
  <si>
    <t>Hourly / Undergrad</t>
  </si>
  <si>
    <t>Post-Doc</t>
  </si>
  <si>
    <t>Graduate Students</t>
  </si>
  <si>
    <t>Subtotal Labor</t>
  </si>
  <si>
    <t>Fringe Benefits</t>
  </si>
  <si>
    <t>Post Doc</t>
  </si>
  <si>
    <t>Subtotal Fringe Benefits</t>
  </si>
  <si>
    <t>Other Direct Cost</t>
  </si>
  <si>
    <t xml:space="preserve">  Equipment</t>
  </si>
  <si>
    <t xml:space="preserve">  Travel</t>
  </si>
  <si>
    <t xml:space="preserve">Foreign </t>
  </si>
  <si>
    <t>Honorariums</t>
  </si>
  <si>
    <t>Materials and Supplies</t>
  </si>
  <si>
    <t>Services/Consulting</t>
  </si>
  <si>
    <t>Participant Support Costs</t>
  </si>
  <si>
    <t>Tuition Remission</t>
  </si>
  <si>
    <t>Subtotal Other Direct Cost</t>
  </si>
  <si>
    <t>Subtotal Direct Cost</t>
  </si>
  <si>
    <t xml:space="preserve">  Subcontracts, &lt; $25,000 </t>
  </si>
  <si>
    <t xml:space="preserve">  Subcontracts, &gt; $25,000</t>
  </si>
  <si>
    <t>Subtotal Subcontracts</t>
  </si>
  <si>
    <t>Total Direct Cost</t>
  </si>
  <si>
    <t>MTDC</t>
  </si>
  <si>
    <t xml:space="preserve">Facilities &amp; Administration Costs (F&amp;A) </t>
  </si>
  <si>
    <t>** Total Sponsor Cost **</t>
  </si>
  <si>
    <t>Committed /Mandatory Cost Share</t>
  </si>
  <si>
    <t>TOTAL PROJECT COST</t>
  </si>
  <si>
    <t>Proposal F&amp;A Rate</t>
  </si>
  <si>
    <t>Custom F&amp;A Rate (Y/N)</t>
  </si>
  <si>
    <t>Organized Research - 7/1/23 - 6/30/25</t>
  </si>
  <si>
    <t>On Campus</t>
  </si>
  <si>
    <t>Target</t>
  </si>
  <si>
    <t>Annual Escalation (Labor Only)</t>
  </si>
  <si>
    <t>All Years</t>
  </si>
  <si>
    <t>Off-Campus</t>
  </si>
  <si>
    <t>Organized Research - 7/1/20 - 6/30/21</t>
  </si>
  <si>
    <t>Organized Research - 7/1/21 - 6/30/23</t>
  </si>
  <si>
    <t>Instruction - 6/30/2021</t>
  </si>
  <si>
    <t>Instruction - 6/30/2025</t>
  </si>
  <si>
    <t>Other Sponsored Activity - 6/30/2021</t>
  </si>
  <si>
    <t>Other Sponsored Activity - 6/30/2025</t>
  </si>
  <si>
    <t>Base</t>
  </si>
  <si>
    <t>TDC</t>
  </si>
  <si>
    <t>RWJF</t>
  </si>
  <si>
    <t>Cost Share Summary</t>
  </si>
  <si>
    <t>Box No.</t>
  </si>
  <si>
    <t>**Departmental Cost Sharing Account**</t>
  </si>
  <si>
    <t>Total</t>
  </si>
  <si>
    <t>Baylor Cost Share</t>
  </si>
  <si>
    <t>Sponsor Cost Share</t>
  </si>
  <si>
    <t>Contract Faculty - Research</t>
  </si>
  <si>
    <t>GRA</t>
  </si>
  <si>
    <t>Voluntary Committed</t>
  </si>
  <si>
    <t>Contracted Services/Consulting</t>
  </si>
  <si>
    <t xml:space="preserve">  Subcontracts, &lt; $25,000</t>
  </si>
  <si>
    <t>Facilities &amp; Administration Costs (F&amp;A)</t>
  </si>
  <si>
    <t>Waived F&amp;A Costs</t>
  </si>
  <si>
    <t>NCCU Uncommitted Cost Share</t>
  </si>
  <si>
    <t>Committed/Mandatory Cost Share</t>
  </si>
  <si>
    <t>TOTAL COST SHARE</t>
  </si>
  <si>
    <t>Proposal IDC Rate</t>
  </si>
  <si>
    <t>Annual Escalation</t>
  </si>
  <si>
    <t>All Programs through 5/31/2020</t>
  </si>
  <si>
    <t>All Programs beginning 6/01/2020</t>
  </si>
  <si>
    <t>Voluntary Uncommitted</t>
  </si>
  <si>
    <t>Mandatory</t>
  </si>
  <si>
    <t>Salary Cap</t>
  </si>
  <si>
    <t>Person Months</t>
  </si>
  <si>
    <t>Name</t>
  </si>
  <si>
    <t>Key Personnel</t>
  </si>
  <si>
    <t>Type of Month</t>
  </si>
  <si>
    <t>Current IBS</t>
  </si>
  <si>
    <t>Appoint</t>
  </si>
  <si>
    <t>Cal</t>
  </si>
  <si>
    <t>Acad</t>
  </si>
  <si>
    <t>Subtotal</t>
  </si>
  <si>
    <t>Hourly/Undergraduate Student</t>
  </si>
  <si>
    <t>TOTAL PERSON MONTHS</t>
  </si>
  <si>
    <t>Escalation</t>
  </si>
  <si>
    <t>Key Personnel Y/N</t>
  </si>
  <si>
    <t>Senior</t>
  </si>
  <si>
    <t>Sum</t>
  </si>
  <si>
    <t>Calendar</t>
  </si>
  <si>
    <t>Labor Category</t>
  </si>
  <si>
    <t>Rate of Pay</t>
  </si>
  <si>
    <t>Frequency</t>
  </si>
  <si>
    <t>IBS</t>
  </si>
  <si>
    <t>Academic</t>
  </si>
  <si>
    <t>Staff</t>
  </si>
  <si>
    <t>Student</t>
  </si>
  <si>
    <t>Semester</t>
  </si>
  <si>
    <t>PostDoc</t>
  </si>
  <si>
    <t>P/T Hourly</t>
  </si>
  <si>
    <t>Hour</t>
  </si>
  <si>
    <t>Monthly</t>
  </si>
  <si>
    <t>Estimated Labor Hours</t>
  </si>
  <si>
    <t>Over The Cap (OTC) Salary</t>
  </si>
  <si>
    <t>OTC Fringe Benefits</t>
  </si>
  <si>
    <t>Subtotal Faculty</t>
  </si>
  <si>
    <t>Subtotal Staff</t>
  </si>
  <si>
    <t>Hourly / Undergraduate Student</t>
  </si>
  <si>
    <t>Subtotal Hourly</t>
  </si>
  <si>
    <t>Subtotal Post-Doc</t>
  </si>
  <si>
    <t>Subtotal GRA</t>
  </si>
  <si>
    <t>Total Labor</t>
  </si>
  <si>
    <t>Cost Share Summary - Labor Dollars</t>
  </si>
  <si>
    <t>Cost Share Labor Dollars</t>
  </si>
  <si>
    <t>Cost Share Fringe Benefits</t>
  </si>
  <si>
    <t>Cost Share Estimated Labor Hours</t>
  </si>
  <si>
    <t>Subtotal Part-Time</t>
  </si>
  <si>
    <t>Graduate Students ** Health benefits are calculated i/a/w the FTE**</t>
  </si>
  <si>
    <t>Sponsor FTE</t>
  </si>
  <si>
    <t>OTC FTE</t>
  </si>
  <si>
    <t>Cost Share FTE</t>
  </si>
  <si>
    <t>Description</t>
  </si>
  <si>
    <t>Unit Cost</t>
  </si>
  <si>
    <t>Basis of Estimate</t>
  </si>
  <si>
    <t>Quantity    Year 1</t>
  </si>
  <si>
    <t>Quantity    Year 2</t>
  </si>
  <si>
    <t>Quantity    Year 3</t>
  </si>
  <si>
    <t>Quantity    Year 4</t>
  </si>
  <si>
    <t>Quantity    Year 5</t>
  </si>
  <si>
    <t>Vendor</t>
  </si>
  <si>
    <t>Glassware</t>
  </si>
  <si>
    <t>PI</t>
  </si>
  <si>
    <t>Chemicals</t>
  </si>
  <si>
    <t>Historical</t>
  </si>
  <si>
    <t>Animal costs</t>
  </si>
  <si>
    <t>Misc</t>
  </si>
  <si>
    <t>All</t>
  </si>
  <si>
    <t>Cost Share Total</t>
  </si>
  <si>
    <t>Duplicating/Copier Services - 93230</t>
  </si>
  <si>
    <t>Minor Equipment - 93250</t>
  </si>
  <si>
    <t>Postage - 93550</t>
  </si>
  <si>
    <t>Printing - 93560</t>
  </si>
  <si>
    <t>Supplies - 93800</t>
  </si>
  <si>
    <t>Supplies-Laboratory - 93815</t>
  </si>
  <si>
    <t>Contract Services - 93130</t>
  </si>
  <si>
    <t>Contract Svcs-Advance Earn -93136</t>
  </si>
  <si>
    <t>Contract Svcs-Bldg/Equip Lease Agreements - 93139</t>
  </si>
  <si>
    <t>Contract Svcs-Temp Agency - 93148</t>
  </si>
  <si>
    <t>Research Services - 93130</t>
  </si>
  <si>
    <t>Tuition/Fees/Health Insurance</t>
  </si>
  <si>
    <t>Stipends</t>
  </si>
  <si>
    <t>Travel</t>
  </si>
  <si>
    <t>Subsistence</t>
  </si>
  <si>
    <t>Tuition/Fees/Health Insurance - 93510</t>
  </si>
  <si>
    <t>Stipends - 93510</t>
  </si>
  <si>
    <t>Travel - 93519</t>
  </si>
  <si>
    <t>Subsistence - 93516</t>
  </si>
  <si>
    <t>Other - 93513</t>
  </si>
  <si>
    <t>Cost per Semester</t>
  </si>
  <si>
    <t>Student Stipends</t>
  </si>
  <si>
    <t>New</t>
  </si>
  <si>
    <t>Subcontractor</t>
  </si>
  <si>
    <t>Y/N</t>
  </si>
  <si>
    <t>Budget</t>
  </si>
  <si>
    <t>Direct</t>
  </si>
  <si>
    <t>F&amp;A</t>
  </si>
  <si>
    <t>Indirect</t>
  </si>
  <si>
    <t>Total Subcontract Costs</t>
  </si>
  <si>
    <t>Contract Svcs-Subcontracts $25K and less</t>
  </si>
  <si>
    <t>Contract Svcs-Subcontracts in excess of $25K</t>
  </si>
  <si>
    <t>NORTH CAROLINA CENTRAL UNIVERSITY</t>
  </si>
  <si>
    <t>OFFICE OF SPONSORED RESEARCH &amp; PROGRAMS</t>
  </si>
  <si>
    <t>BUDGET ALLOCATION FORM</t>
  </si>
  <si>
    <t xml:space="preserve">Fund Number: </t>
  </si>
  <si>
    <t xml:space="preserve">Principal Investigator: </t>
  </si>
  <si>
    <t xml:space="preserve">Title: </t>
  </si>
  <si>
    <t>Funding Agency:</t>
  </si>
  <si>
    <t>Budget Allocation</t>
  </si>
  <si>
    <t>Amount ($)</t>
  </si>
  <si>
    <t>Account Code</t>
  </si>
  <si>
    <t>EPA Administrative Salary</t>
  </si>
  <si>
    <t>Graduate Student Stipends (Work Related)</t>
  </si>
  <si>
    <t>Social Security</t>
  </si>
  <si>
    <t>Medical Insurance</t>
  </si>
  <si>
    <t>Optional Retirement</t>
  </si>
  <si>
    <t>Educational Supplies</t>
  </si>
  <si>
    <t>72300G</t>
  </si>
  <si>
    <t>Office Supplies</t>
  </si>
  <si>
    <t>72600G</t>
  </si>
  <si>
    <t>Other Supplies</t>
  </si>
  <si>
    <t>72900G</t>
  </si>
  <si>
    <t>73100G</t>
  </si>
  <si>
    <t>Contracted Services</t>
  </si>
  <si>
    <t>73900G</t>
  </si>
  <si>
    <t>Equipment</t>
  </si>
  <si>
    <t>75000G</t>
  </si>
  <si>
    <t>Undergraduate Student Stipends (Work Related)</t>
  </si>
  <si>
    <t>SHA Administrative Salary</t>
  </si>
  <si>
    <t>Tuition and Fees</t>
  </si>
  <si>
    <t>76900G</t>
  </si>
  <si>
    <t>76910G</t>
  </si>
  <si>
    <t>Participant Incentive Fees</t>
  </si>
  <si>
    <t>76920G</t>
  </si>
  <si>
    <t>Indirect Cost</t>
  </si>
  <si>
    <t>74800G</t>
  </si>
  <si>
    <t>Award Total</t>
  </si>
  <si>
    <t>Additional Information:</t>
  </si>
  <si>
    <t xml:space="preserve">Prepared By: </t>
  </si>
  <si>
    <t xml:space="preserve">Date: </t>
  </si>
  <si>
    <t>Consultant Services</t>
  </si>
  <si>
    <t>Rate</t>
  </si>
  <si>
    <t>NCCU Tuition Costs - In State</t>
  </si>
  <si>
    <t>Summer Faculty</t>
  </si>
  <si>
    <t>Fringe</t>
  </si>
  <si>
    <t>Post Doc Experience</t>
  </si>
  <si>
    <t xml:space="preserve"> Rate </t>
  </si>
  <si>
    <t>Hourly/Undergrad/Grad</t>
  </si>
  <si>
    <t>Predoc</t>
  </si>
  <si>
    <t>FICA</t>
  </si>
  <si>
    <t>Postdoc 0</t>
  </si>
  <si>
    <t>Postdoc 1</t>
  </si>
  <si>
    <t>Postdoc 2</t>
  </si>
  <si>
    <t>Postdoc 3</t>
  </si>
  <si>
    <t>Health Ins</t>
  </si>
  <si>
    <t>Postdoc 4</t>
  </si>
  <si>
    <t>Postdoc 5</t>
  </si>
  <si>
    <t>Postdoc 6</t>
  </si>
  <si>
    <t>Postdoc 7+</t>
  </si>
  <si>
    <t>Post_Doc and Post_Doc_Labor</t>
  </si>
  <si>
    <t>Postdoc 7 +</t>
  </si>
  <si>
    <t>Title</t>
  </si>
  <si>
    <t>Total Proposed</t>
  </si>
  <si>
    <t>Direct Cost less Consortium F&amp;A</t>
  </si>
  <si>
    <t>Round to nearest 25K</t>
  </si>
  <si>
    <t>Consortium F&amp;A</t>
  </si>
  <si>
    <t>Indirect Cost Base ($)</t>
  </si>
  <si>
    <t>Total Indirect Costs</t>
  </si>
  <si>
    <t>Funds Requested</t>
  </si>
  <si>
    <t>PHS 398 Modular Budget</t>
  </si>
  <si>
    <t>Period 1</t>
  </si>
  <si>
    <t>Period 2</t>
  </si>
  <si>
    <t>Period 3</t>
  </si>
  <si>
    <t>Period 4</t>
  </si>
  <si>
    <t>Period 5</t>
  </si>
  <si>
    <t>Start Date</t>
  </si>
  <si>
    <t>End Date</t>
  </si>
  <si>
    <t>A. Direct Costs</t>
  </si>
  <si>
    <t>Direct Cost Less Consortium F&amp;A</t>
  </si>
  <si>
    <t>B. Indirect (F&amp;A) Costs</t>
  </si>
  <si>
    <t>Indirect Type</t>
  </si>
  <si>
    <t>Indirect Rate</t>
  </si>
  <si>
    <t>Indirect Base</t>
  </si>
  <si>
    <t>C.Total Direct and Indirect (F&amp;A) Costs</t>
  </si>
  <si>
    <t>Total Direct and F&amp;A</t>
  </si>
  <si>
    <t>Cumulative Budget Information</t>
  </si>
  <si>
    <t>1. Total Costs, Entire Project Period</t>
  </si>
  <si>
    <t>Section A, TDC Less Consortium F&amp;A</t>
  </si>
  <si>
    <t>Section A, Total Consortium F&amp;A</t>
  </si>
  <si>
    <t>Section A, Total Direct Costs</t>
  </si>
  <si>
    <t>Section B, Total Indirect (F&amp;A) Costs</t>
  </si>
  <si>
    <t>Section C, Total Direct and Indirect (F&amp;A) Costs</t>
  </si>
  <si>
    <t xml:space="preserve">to </t>
  </si>
  <si>
    <t>Non-Consortium Costs (MTDC 1)</t>
  </si>
  <si>
    <t>Consortium Costs (MTDC 2)</t>
  </si>
  <si>
    <t>F&amp;A MTDC 1</t>
  </si>
  <si>
    <t>F&amp;A MTDC 2</t>
  </si>
  <si>
    <t>Sponsor IDC Rate</t>
  </si>
  <si>
    <t>MTDC 1</t>
  </si>
  <si>
    <t>MTDC 2</t>
  </si>
  <si>
    <t xml:space="preserve">Link to RWJF F&amp;A Policy </t>
  </si>
  <si>
    <t>https://www.rwjf.org/content/granteeresources/legal-and-policy/Indirect_Cost_Rate.html</t>
  </si>
  <si>
    <t>Post Award Tools</t>
  </si>
  <si>
    <t>Original</t>
  </si>
  <si>
    <t>Change</t>
  </si>
  <si>
    <t>Impact</t>
  </si>
  <si>
    <t>New Total</t>
  </si>
  <si>
    <t>Total Costs</t>
  </si>
  <si>
    <t>A. Senior/Key Personnel</t>
  </si>
  <si>
    <t>Budget Period 1</t>
  </si>
  <si>
    <t>Budget Period 2</t>
  </si>
  <si>
    <t>Budget Period 3</t>
  </si>
  <si>
    <t>Budget Period 4</t>
  </si>
  <si>
    <t>Budget Period 5</t>
  </si>
  <si>
    <t>Key/Senior</t>
  </si>
  <si>
    <t>Base Salary</t>
  </si>
  <si>
    <t>Months</t>
  </si>
  <si>
    <t>Requested Salary</t>
  </si>
  <si>
    <t>Total Senior/Key Person</t>
  </si>
  <si>
    <t>B. Other Personnel</t>
  </si>
  <si>
    <t>Post Docs</t>
  </si>
  <si>
    <t>Undergraduate Students</t>
  </si>
  <si>
    <t>Secretarial/Clerical</t>
  </si>
  <si>
    <t>Total Number Other Personnel</t>
  </si>
  <si>
    <t>Total Other Personnel</t>
  </si>
  <si>
    <t>Total Salary, Wages and Fringe Benefits (A+B)</t>
  </si>
  <si>
    <t>C. Equipment Description</t>
  </si>
  <si>
    <t>Equipment Item</t>
  </si>
  <si>
    <t>Total Equipment</t>
  </si>
  <si>
    <t>D. Travel</t>
  </si>
  <si>
    <t>Domestic Travel Costs</t>
  </si>
  <si>
    <t>Foreign Travel Costs</t>
  </si>
  <si>
    <t>Total Travel Cost</t>
  </si>
  <si>
    <t>E. Particpant/Trainee Support Costs</t>
  </si>
  <si>
    <t>Number of Participants/Trainees</t>
  </si>
  <si>
    <t>Total Participant/Trainee Support Costs</t>
  </si>
  <si>
    <t>F. Other Direct Costs</t>
  </si>
  <si>
    <t>Publication Costs</t>
  </si>
  <si>
    <t>ADP/Computer Services</t>
  </si>
  <si>
    <t>Subawards/Consortium/Contractual Costs</t>
  </si>
  <si>
    <t>Equipment or Facility Rental/User Fees</t>
  </si>
  <si>
    <t>Alterations and Renovations</t>
  </si>
  <si>
    <t>Total Other Direct Costs</t>
  </si>
  <si>
    <t>G.Direct Costs</t>
  </si>
  <si>
    <t>Total Direct Costs (A thru F)</t>
  </si>
  <si>
    <t>H. Indirect Costs</t>
  </si>
  <si>
    <t>Indirect Costs Type</t>
  </si>
  <si>
    <t>F&amp;A Base</t>
  </si>
  <si>
    <t>Indirect Cost Rate</t>
  </si>
  <si>
    <t>Total F&amp;A Costs</t>
  </si>
  <si>
    <t>I. Total Direct and Indirect Costs</t>
  </si>
  <si>
    <t>Cumulative Budget</t>
  </si>
  <si>
    <t>Section A</t>
  </si>
  <si>
    <t>Section B</t>
  </si>
  <si>
    <t>Section C</t>
  </si>
  <si>
    <t>Section D</t>
  </si>
  <si>
    <t>Section E</t>
  </si>
  <si>
    <t>Section F</t>
  </si>
  <si>
    <t>Section G</t>
  </si>
  <si>
    <t>Section H</t>
  </si>
  <si>
    <t>Section I</t>
  </si>
  <si>
    <t>Section J</t>
  </si>
  <si>
    <t>Section K</t>
  </si>
  <si>
    <t>Award Setup</t>
  </si>
  <si>
    <t>Banner Account Code</t>
  </si>
  <si>
    <t>Facilities &amp; Administration Costs (F&amp;A) - 98950</t>
  </si>
  <si>
    <t>Mandatory Cost Share</t>
  </si>
  <si>
    <t>Baylor Tuition Reimbursement</t>
  </si>
  <si>
    <t>TOTAL BAYLOR COSTS</t>
  </si>
  <si>
    <t>Removed Off-Site Rental Categorie</t>
  </si>
  <si>
    <t>Changed Trainee Costs to Honorarium</t>
  </si>
  <si>
    <t>Honoraium related travel costs will move from Travel to Honorarium</t>
  </si>
  <si>
    <t>Added TBN Staff and Faculty, add manual salary in personnel tab</t>
  </si>
  <si>
    <t>Added Temporary Staff, add manual salary in personnel tab</t>
  </si>
  <si>
    <t>Added Prime Sponsor field on Sponsor Cost Tab</t>
  </si>
  <si>
    <t>Expanded Proposal Title field</t>
  </si>
  <si>
    <t>Expanded Sponsor field</t>
  </si>
  <si>
    <t>Updated Cost Sharing formulas on Labor Detail atb</t>
  </si>
  <si>
    <t>Updated Sponsor Cost formulas to link Labor and Fringe to match same on Labor Detail tab</t>
  </si>
  <si>
    <t>Updated FTE calculations on FTE tab</t>
  </si>
  <si>
    <t>Confirmed GRA FB calculation re:Health Insurance with Dr. Chambliss</t>
  </si>
  <si>
    <t>Confirmed GRA Tuition Calculation with Dr. Chambliss. Calculation will default to Cost Sharing</t>
  </si>
  <si>
    <t>Reviewed with PostAward to collect input and suggestions</t>
  </si>
  <si>
    <t>Modified GRA FB calculation to apply FICA only when Summer Months are selected</t>
  </si>
  <si>
    <t>Blacked out IBS field for Faculty and Staff to protect salary information</t>
  </si>
  <si>
    <t>Fixed rounding discrepancie in Sponsor Cost tab</t>
  </si>
  <si>
    <t>Expanded escalation option to include Year 1 and/or All Years on Sponsor Cost Tab</t>
  </si>
  <si>
    <t>Added Modular Budget Tab</t>
  </si>
  <si>
    <t>Added R&amp;R 424 Budget Tab</t>
  </si>
  <si>
    <t>Added tuition escalation to Tuition Tab</t>
  </si>
  <si>
    <t>Added faculty listing and salaries provided by the Controllers Office</t>
  </si>
  <si>
    <t>Added staff requested by Brittany and Melanie</t>
  </si>
  <si>
    <t>Added comment to Cost Share line on Sponsor Cost tab clarifying the definition</t>
  </si>
  <si>
    <t>Corrected IBS escalation on SF 424 Tab</t>
  </si>
  <si>
    <t>Corrected hour calculations for student on Labor Detail tab</t>
  </si>
  <si>
    <t>Modified column heading on Personnel Tab to reflect dates instead of years</t>
  </si>
  <si>
    <t>Updated GA Health Benefit to 3248.62 for FY 2021 using information from Beth Barr</t>
  </si>
  <si>
    <t>Added Kostadinove and Carballido as faculty as requested by Amy Gill</t>
  </si>
  <si>
    <t>Corrected FB calculation for Faculty to reflect 10 month vs. 12 month salary band</t>
  </si>
  <si>
    <t>Modified Participant Support Tab to match SF 424 format</t>
  </si>
  <si>
    <t>Changes in v.10</t>
  </si>
  <si>
    <t>Corrected FB calculation for GA's on Detailed Labor tab</t>
  </si>
  <si>
    <t>Modified PhD Student options and salaries based on email from Anna Henderson</t>
  </si>
  <si>
    <t>Incorporated ROUND function to totals on individual tabs</t>
  </si>
  <si>
    <t>Added Waived F&amp;A estimate to Cost Share tab</t>
  </si>
  <si>
    <t>Added P/W protection to file - required for opening. Requested by Pre-Award. URA will save Budget file to Box</t>
  </si>
  <si>
    <t>Updated IBS for Dittmann to reflect payroll validation of transition from .8 FTE to 1.0 in FY 2021</t>
  </si>
  <si>
    <t>Correct calculations on Modular Tab</t>
  </si>
  <si>
    <t>Added Cost Share type designation on Cost Share tab (Voluntary (Committed or Uncommitted), Mandatory)</t>
  </si>
  <si>
    <t>Added OTC Labor and Fringe costs to Cost Share Labor and Fringe totals</t>
  </si>
  <si>
    <t>Delineated Committed and Uncommitted Cost Share on Sponsor tab to show only committed and mandatory cost share</t>
  </si>
  <si>
    <t>Delineated Committed and Uncommitted Cost Share on Cost Share tab to reflect ALL potential Baylor costs not convered by the Sponsor</t>
  </si>
  <si>
    <t>Changes in June v.3</t>
  </si>
  <si>
    <t>Added TBN Staff Member on Labor Detail tab to capture FICA for Part Time staff</t>
  </si>
  <si>
    <t xml:space="preserve">Expanded the column width on the tuition tab </t>
  </si>
  <si>
    <t>Corrected "print area" on individual tabs to address PDF conversion difficulties</t>
  </si>
  <si>
    <t>Corrected Cost Share calculation on Cost Share tab</t>
  </si>
  <si>
    <t>Corrected tuition total on rh column to incorporate 5% escalation in annual totals calculation</t>
  </si>
  <si>
    <t>Corrected fb calculation to reflect that .5 FTE for GRA's earns 100 tuition and health benfits</t>
  </si>
  <si>
    <t xml:space="preserve">Added TBN Graduate Student to rate table @ $15/hour annualized </t>
  </si>
  <si>
    <t>Changes in July v.4</t>
  </si>
  <si>
    <t>Corrected tuition calculation on cost share tab at the cost element and summary lines</t>
  </si>
  <si>
    <t>Updated GRA Health Benefit rate for 2020-2021 i/a/w the new AcademicBlue 2020-2021 Baylor Student Health Insurance Plan</t>
  </si>
  <si>
    <t>Modified GRA calculation to relfect 12 month=50% FTE, 100% Health Benefit and Tuition remission</t>
  </si>
  <si>
    <t>Modified Part Time TBN Staff calculation to recognize potential for FT hours and FICA on all wages vs. TBN Undergraduate student at no FICA during academic year</t>
  </si>
  <si>
    <t>Added TA, RA and GA job categories to the rate table based on GA Categories provided by the Graduate School</t>
  </si>
  <si>
    <t xml:space="preserve">Added Assoc and Sen Researcher positions to rate table using HR data and salary range midpoint </t>
  </si>
  <si>
    <t>Modified GRA labor calculation on personnel tab to reflect months worked (i.e., 12 months is not longer entered as 5)</t>
  </si>
  <si>
    <t>Modified GRA labor calulation to relfect month calculation change</t>
  </si>
  <si>
    <t>Added new faculty member requested by Heidi Mueller</t>
  </si>
  <si>
    <t>Modified tuition tab to incorporate 5% escalation in years 2-5 for Cost Shared tuition</t>
  </si>
  <si>
    <t>Corrected GRA insurance calculation to reflect out years.</t>
  </si>
  <si>
    <t>Expanded decimal places for F&amp;A rate on Sponsor and Cost Share tabs at the request of Post-Award</t>
  </si>
  <si>
    <t>Changes in August 2020</t>
  </si>
  <si>
    <t>Added Award Setup Tab and confirmed calculations, instructions, notes and display with Samara</t>
  </si>
  <si>
    <t>Modified Cost Sharing calculations on Award Setup tab to reflect Post Award request for mandatory and budgeting (i.e., tuition)</t>
  </si>
  <si>
    <t>Award SetUp cost sharing numbers will NOT necessarily match the Cost Share tab due to the requested changes from Post Award.</t>
  </si>
  <si>
    <t>Post Award tab cost sharing calculation will not reflect cost sharing that is NOT mandatory with reporting requirements OR costs that NOT require a budgeting activity during the setup process.</t>
  </si>
  <si>
    <t>Correct estimated labor hour calculation for Hourly/Undergrad Student</t>
  </si>
  <si>
    <t>Added TBN Grad Student to Rate Table for use in Hourly/Undergrad Student section of the Personnel tab to reflect Social Work decision NOT to offer insurance coverage to students</t>
  </si>
  <si>
    <t>Correct IBS and escalation formula on SF 454 tab</t>
  </si>
  <si>
    <t>Changes in December 2020</t>
  </si>
  <si>
    <t>Created named ranges on the Rate Table tab to address the impact of adding new personnel to the table</t>
  </si>
  <si>
    <t>Updated salary information using 10/29/2020 IGNITE file</t>
  </si>
  <si>
    <t>Annualized all Salary data for Baylor faculty and staff</t>
  </si>
  <si>
    <t>Added "Monthly" to the IBS calculator tool</t>
  </si>
  <si>
    <t>Added PostDocs included in the IGNITE feed to the Rate Table and created a Post_Doc defined name</t>
  </si>
  <si>
    <t>Changes in January 2021</t>
  </si>
  <si>
    <t>Removed Health Benefit charge from Graduate Student FB calculation from Sponsor to Cost Share on Labor Detail tab</t>
  </si>
  <si>
    <t>Corrected GA Health Benefit to remove duplicate Summer i/a/w dates and information in BCBS flyer</t>
  </si>
  <si>
    <t>Added TBN Faculty Member @ $60K to Rate Table Tab</t>
  </si>
  <si>
    <t>Corrected Cost Share designation and calculation on the Labor Detail tab</t>
  </si>
  <si>
    <t>Removed tuition calculation from FTE driven to manual entry</t>
  </si>
  <si>
    <t>Updated Faculty and Staff personnel to reflect 10 month and Annual appointments only</t>
  </si>
  <si>
    <t>Added new GA title to Personnel Options - GSA and GSE</t>
  </si>
  <si>
    <t>Removed Consulting Tab. Consultant Costs will now be entered to Contracted Services</t>
  </si>
  <si>
    <t>Updated SF424 and Award Setup Tabs to reflect changes to the Consulting costs</t>
  </si>
  <si>
    <t>Added RWJF Tab to template to facilitate unusual F&amp;A calculation methodology</t>
  </si>
  <si>
    <t>Changes in February 2021</t>
  </si>
  <si>
    <t>Corrected the waived F&amp;A calculation on the Cost Share tab</t>
  </si>
  <si>
    <t>Corrected formula on Cost Share Tab to reflect the combination of Contracting Services and Consulting Costs</t>
  </si>
  <si>
    <t>Corrected Grad Student Health Benefit on Cost Share Tab to reflect GSE vs. GA designation on Labor Detail Tab</t>
  </si>
  <si>
    <t>Reduced the Grad Student drop-down menu options to GA and GSE only.</t>
  </si>
  <si>
    <t>Moved TBN Research Technologist to Faculty/Staff list</t>
  </si>
  <si>
    <t>Updated GA and GSE definitions using HR information dated 01/15/2021</t>
  </si>
  <si>
    <t>Undergraduate Student - FY 2027</t>
  </si>
  <si>
    <t>Graduate Student - FY 2027</t>
  </si>
  <si>
    <t>PhD Student - FY 2027</t>
  </si>
  <si>
    <t>Law School - FY 2027</t>
  </si>
  <si>
    <t xml:space="preserve">Postdoctoral Trainee/Fellow - FY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</si>
</sst>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6" formatCode="&quot;$&quot;#,##0_);[Red]\(&quot;$&quot;#,##0\)"/>
    <numFmt numFmtId="44" formatCode="_(&quot;$&quot;* #,##0.00_);_(&quot;$&quot;* \(#,##0.00\);_(&quot;$&quot;* &quot;-&quot;??_);_(@_)"/>
    <numFmt numFmtId="43" formatCode="_(* #,##0.00_);_(* \(#,##0.00\);_(* &quot;-&quot;??_);_(@_)"/>
    <numFmt numFmtId="164" formatCode="_(* #,##0_);_(* \(#,##0\);_(* &quot;-&quot;??_);_(@_)"/>
    <numFmt numFmtId="165" formatCode="0.0%"/>
    <numFmt numFmtId="166" formatCode="[$-409]d\-mmm\-yyyy;@"/>
    <numFmt numFmtId="167" formatCode="0.000%"/>
    <numFmt numFmtId="168" formatCode="_(* #,##0.000_);_(* \(#,##0.000\);_(* &quot;-&quot;??_);_(@_)"/>
    <numFmt numFmtId="169" formatCode="_(&quot;$&quot;* #,##0_);_(&quot;$&quot;* \(#,##0\);_(&quot;$&quot;* &quot;-&quot;??_);_(@_)"/>
    <numFmt numFmtId="170" formatCode="_(* #,##0.0_);_(* \(#,##0.0\);_(* &quot;-&quot;?_);_(@_)"/>
    <numFmt numFmtId="171" formatCode="mmm\ yy"/>
    <numFmt numFmtId="172" formatCode="#,##0.00;[Red]#,##0.00"/>
    <numFmt numFmtId="173" formatCode="&quot;$&quot;#,##0.00;[Red]&quot;$&quot;#,##0.00"/>
    <numFmt numFmtId="174" formatCode="General_)"/>
  </numFmts>
  <fonts count="55" x14ac:knownFonts="1">
    <font>
      <sz val="11"/>
      <color theme="1"/>
      <name val="Calibri"/>
      <family val="2"/>
      <scheme val="minor"/>
    </font>
    <font>
      <sz val="12"/>
      <color theme="1"/>
      <name val="Calibri"/>
      <family val="2"/>
      <scheme val="minor"/>
    </font>
    <font>
      <sz val="11"/>
      <color theme="1"/>
      <name val="Calibri"/>
      <family val="2"/>
      <scheme val="minor"/>
    </font>
    <font>
      <b/>
      <sz val="11"/>
      <color theme="1"/>
      <name val="Calibri"/>
      <family val="2"/>
      <scheme val="minor"/>
    </font>
    <font>
      <sz val="10"/>
      <name val="Times New Roman"/>
      <family val="1"/>
    </font>
    <font>
      <b/>
      <sz val="12"/>
      <color indexed="8"/>
      <name val="Calibri"/>
      <family val="2"/>
      <scheme val="minor"/>
    </font>
    <font>
      <sz val="12"/>
      <color indexed="8"/>
      <name val="Calibri"/>
      <family val="2"/>
      <scheme val="minor"/>
    </font>
    <font>
      <sz val="10"/>
      <name val="Arial"/>
      <family val="2"/>
    </font>
    <font>
      <sz val="12"/>
      <name val="Calibri"/>
      <family val="2"/>
      <scheme val="minor"/>
    </font>
    <font>
      <b/>
      <sz val="10"/>
      <name val="Arial"/>
      <family val="2"/>
    </font>
    <font>
      <b/>
      <sz val="10"/>
      <color theme="0"/>
      <name val="Arial"/>
      <family val="2"/>
    </font>
    <font>
      <b/>
      <sz val="12"/>
      <color theme="1"/>
      <name val="Calibri"/>
      <family val="2"/>
      <scheme val="minor"/>
    </font>
    <font>
      <sz val="12"/>
      <color theme="1"/>
      <name val="Calibri"/>
      <family val="2"/>
      <scheme val="minor"/>
    </font>
    <font>
      <u/>
      <sz val="11"/>
      <color theme="10"/>
      <name val="Calibri"/>
      <family val="2"/>
      <scheme val="minor"/>
    </font>
    <font>
      <u/>
      <sz val="11"/>
      <color rgb="FF00B0F0"/>
      <name val="Calibri"/>
      <family val="2"/>
      <scheme val="minor"/>
    </font>
    <font>
      <sz val="11"/>
      <color rgb="FF00B0F0"/>
      <name val="Calibri"/>
      <family val="2"/>
      <scheme val="minor"/>
    </font>
    <font>
      <b/>
      <sz val="14"/>
      <color theme="1"/>
      <name val="Calibri"/>
      <family val="2"/>
      <scheme val="minor"/>
    </font>
    <font>
      <b/>
      <sz val="12"/>
      <color theme="0"/>
      <name val="Calibri"/>
      <family val="2"/>
      <scheme val="minor"/>
    </font>
    <font>
      <b/>
      <sz val="12"/>
      <name val="Arial"/>
      <family val="2"/>
    </font>
    <font>
      <sz val="11"/>
      <name val="Calibri"/>
      <family val="2"/>
      <scheme val="minor"/>
    </font>
    <font>
      <sz val="10"/>
      <name val="Courier"/>
      <family val="1"/>
    </font>
    <font>
      <sz val="10"/>
      <name val="Courier"/>
      <family val="3"/>
    </font>
    <font>
      <sz val="10"/>
      <name val="MS Sans Serif"/>
      <family val="2"/>
    </font>
    <font>
      <u/>
      <sz val="10"/>
      <color theme="10"/>
      <name val="Courier"/>
      <family val="3"/>
    </font>
    <font>
      <b/>
      <sz val="14"/>
      <color indexed="8"/>
      <name val="Calibri"/>
      <family val="2"/>
    </font>
    <font>
      <b/>
      <sz val="14"/>
      <color indexed="8"/>
      <name val="Calibri"/>
      <family val="2"/>
      <scheme val="minor"/>
    </font>
    <font>
      <b/>
      <sz val="14"/>
      <name val="Calibri"/>
      <family val="2"/>
      <scheme val="minor"/>
    </font>
    <font>
      <sz val="14"/>
      <color indexed="8"/>
      <name val="Calibri"/>
      <family val="2"/>
      <scheme val="minor"/>
    </font>
    <font>
      <sz val="14"/>
      <color theme="1"/>
      <name val="Calibri"/>
      <family val="2"/>
      <scheme val="minor"/>
    </font>
    <font>
      <b/>
      <sz val="14"/>
      <color rgb="FFFF0000"/>
      <name val="Calibri"/>
      <family val="2"/>
      <scheme val="minor"/>
    </font>
    <font>
      <sz val="14"/>
      <name val="Calibri"/>
      <family val="2"/>
      <scheme val="minor"/>
    </font>
    <font>
      <u/>
      <sz val="14"/>
      <color theme="10"/>
      <name val="Calibri"/>
      <family val="2"/>
      <scheme val="minor"/>
    </font>
    <font>
      <b/>
      <u/>
      <sz val="14"/>
      <name val="Arial"/>
      <family val="2"/>
    </font>
    <font>
      <sz val="14"/>
      <name val="Arial"/>
      <family val="2"/>
    </font>
    <font>
      <sz val="11"/>
      <color theme="8" tint="0.39997558519241921"/>
      <name val="Calibri"/>
      <family val="2"/>
      <scheme val="minor"/>
    </font>
    <font>
      <b/>
      <u/>
      <sz val="14"/>
      <color theme="10"/>
      <name val="Calibri"/>
      <family val="2"/>
      <scheme val="minor"/>
    </font>
    <font>
      <u/>
      <sz val="12"/>
      <color theme="10"/>
      <name val="Calibri"/>
      <family val="2"/>
      <scheme val="minor"/>
    </font>
    <font>
      <b/>
      <sz val="18"/>
      <name val="Calibri"/>
      <family val="2"/>
      <scheme val="minor"/>
    </font>
    <font>
      <b/>
      <i/>
      <sz val="11"/>
      <color theme="1"/>
      <name val="Calibri"/>
      <family val="2"/>
      <scheme val="minor"/>
    </font>
    <font>
      <sz val="10"/>
      <color theme="1"/>
      <name val="Calibri"/>
      <family val="2"/>
      <scheme val="minor"/>
    </font>
    <font>
      <b/>
      <sz val="12"/>
      <name val="Calibri"/>
      <family val="2"/>
      <scheme val="minor"/>
    </font>
    <font>
      <b/>
      <sz val="10"/>
      <color indexed="8"/>
      <name val="Times New Roman"/>
      <family val="1"/>
    </font>
    <font>
      <b/>
      <sz val="28"/>
      <color theme="1"/>
      <name val="Calibri"/>
      <family val="2"/>
      <scheme val="minor"/>
    </font>
    <font>
      <b/>
      <sz val="14"/>
      <color theme="0"/>
      <name val="Calibri"/>
      <family val="2"/>
      <scheme val="minor"/>
    </font>
    <font>
      <b/>
      <sz val="26"/>
      <color theme="1"/>
      <name val="Calibri"/>
      <family val="2"/>
      <scheme val="minor"/>
    </font>
    <font>
      <sz val="10"/>
      <color theme="1"/>
      <name val="Calibri"/>
      <family val="2"/>
    </font>
    <font>
      <sz val="11"/>
      <color rgb="FF000000"/>
      <name val="Calibri"/>
      <family val="2"/>
      <scheme val="minor"/>
    </font>
    <font>
      <sz val="14"/>
      <color theme="0"/>
      <name val="Calibri"/>
      <family val="2"/>
      <scheme val="minor"/>
    </font>
    <font>
      <u/>
      <sz val="11"/>
      <name val="Calibri"/>
      <family val="2"/>
      <scheme val="minor"/>
    </font>
    <font>
      <b/>
      <sz val="28"/>
      <name val="Calibri"/>
      <family val="2"/>
      <scheme val="minor"/>
    </font>
    <font>
      <sz val="10"/>
      <color indexed="8"/>
      <name val="Arial"/>
      <family val="2"/>
    </font>
    <font>
      <sz val="14"/>
      <color theme="0" tint="-0.14999847407452621"/>
      <name val="Arial"/>
      <family val="2"/>
    </font>
    <font>
      <sz val="10"/>
      <name val="Calibri"/>
      <family val="2"/>
    </font>
    <font>
      <b/>
      <sz val="11"/>
      <name val="Arial"/>
      <family val="2"/>
    </font>
    <font>
      <sz val="11"/>
      <name val="Arial"/>
      <family val="2"/>
    </font>
  </fonts>
  <fills count="21">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theme="3"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3" tint="0.39994506668294322"/>
        <bgColor indexed="64"/>
      </patternFill>
    </fill>
    <fill>
      <patternFill patternType="solid">
        <fgColor theme="7"/>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00B0F0"/>
        <bgColor indexed="64"/>
      </patternFill>
    </fill>
    <fill>
      <patternFill patternType="solid">
        <fgColor theme="9" tint="-0.249977111117893"/>
        <bgColor indexed="64"/>
      </patternFill>
    </fill>
    <fill>
      <patternFill patternType="solid">
        <fgColor rgb="FF92D050"/>
        <bgColor indexed="64"/>
      </patternFill>
    </fill>
    <fill>
      <patternFill patternType="solid">
        <fgColor theme="0" tint="-0.249977111117893"/>
        <bgColor indexed="64"/>
      </patternFill>
    </fill>
    <fill>
      <patternFill patternType="solid">
        <fgColor rgb="FF990033"/>
        <bgColor indexed="64"/>
      </patternFill>
    </fill>
    <fill>
      <patternFill patternType="solid">
        <fgColor theme="2" tint="-0.249977111117893"/>
        <bgColor indexed="64"/>
      </patternFill>
    </fill>
    <fill>
      <patternFill patternType="solid">
        <fgColor theme="6"/>
        <bgColor indexed="64"/>
      </patternFill>
    </fill>
    <fill>
      <patternFill patternType="solid">
        <fgColor indexed="22"/>
        <bgColor indexed="64"/>
      </patternFill>
    </fill>
  </fills>
  <borders count="33">
    <border>
      <left/>
      <right/>
      <top/>
      <bottom/>
      <diagonal/>
    </border>
    <border>
      <left style="thin">
        <color auto="1"/>
      </left>
      <right/>
      <top style="thin">
        <color auto="1"/>
      </top>
      <bottom style="thin">
        <color auto="1"/>
      </bottom>
      <diagonal/>
    </border>
    <border>
      <left style="thin">
        <color auto="1"/>
      </left>
      <right/>
      <top/>
      <bottom/>
      <diagonal/>
    </border>
    <border>
      <left style="thin">
        <color auto="1"/>
      </left>
      <right/>
      <top style="thin">
        <color auto="1"/>
      </top>
      <bottom style="double">
        <color auto="1"/>
      </bottom>
      <diagonal/>
    </border>
    <border>
      <left style="thin">
        <color auto="1"/>
      </left>
      <right/>
      <top/>
      <bottom style="double">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thin">
        <color auto="1"/>
      </right>
      <top style="thin">
        <color auto="1"/>
      </top>
      <bottom style="thin">
        <color auto="1"/>
      </bottom>
      <diagonal/>
    </border>
    <border>
      <left/>
      <right style="medium">
        <color auto="1"/>
      </right>
      <top/>
      <bottom/>
      <diagonal/>
    </border>
    <border>
      <left style="medium">
        <color auto="1"/>
      </left>
      <right/>
      <top/>
      <bottom style="medium">
        <color auto="1"/>
      </bottom>
      <diagonal/>
    </border>
    <border>
      <left style="thin">
        <color auto="1"/>
      </left>
      <right style="thin">
        <color auto="1"/>
      </right>
      <top style="thin">
        <color auto="1"/>
      </top>
      <bottom style="medium">
        <color auto="1"/>
      </bottom>
      <diagonal/>
    </border>
    <border>
      <left/>
      <right style="medium">
        <color auto="1"/>
      </right>
      <top/>
      <bottom style="medium">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top/>
      <bottom style="thin">
        <color auto="1"/>
      </bottom>
      <diagonal/>
    </border>
    <border>
      <left style="thin">
        <color auto="1"/>
      </left>
      <right/>
      <top/>
      <bottom style="thin">
        <color indexed="64"/>
      </bottom>
      <diagonal/>
    </border>
    <border>
      <left style="thin">
        <color auto="1"/>
      </left>
      <right style="thin">
        <color auto="1"/>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auto="1"/>
      </left>
      <right style="thin">
        <color indexed="64"/>
      </right>
      <top style="thin">
        <color auto="1"/>
      </top>
      <bottom style="double">
        <color auto="1"/>
      </bottom>
      <diagonal/>
    </border>
    <border>
      <left style="thin">
        <color auto="1"/>
      </left>
      <right style="thin">
        <color indexed="64"/>
      </right>
      <top/>
      <bottom style="double">
        <color auto="1"/>
      </bottom>
      <diagonal/>
    </border>
    <border>
      <left style="thin">
        <color auto="1"/>
      </left>
      <right/>
      <top/>
      <bottom style="medium">
        <color indexed="64"/>
      </bottom>
      <diagonal/>
    </border>
    <border>
      <left style="thin">
        <color auto="1"/>
      </left>
      <right style="thin">
        <color auto="1"/>
      </right>
      <top style="thin">
        <color auto="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style="thin">
        <color indexed="64"/>
      </right>
      <top style="thin">
        <color auto="1"/>
      </top>
      <bottom/>
      <diagonal/>
    </border>
    <border>
      <left/>
      <right style="thin">
        <color indexed="64"/>
      </right>
      <top style="thin">
        <color auto="1"/>
      </top>
      <bottom/>
      <diagonal/>
    </border>
  </borders>
  <cellStyleXfs count="17">
    <xf numFmtId="0" fontId="0" fillId="0" borderId="0"/>
    <xf numFmtId="43" fontId="2" fillId="0" borderId="0"/>
    <xf numFmtId="9" fontId="2" fillId="0" borderId="0"/>
    <xf numFmtId="0" fontId="4" fillId="0" borderId="0"/>
    <xf numFmtId="171" fontId="4" fillId="0" borderId="0">
      <alignment horizontal="right"/>
    </xf>
    <xf numFmtId="38" fontId="4" fillId="0" borderId="0">
      <alignment horizontal="right"/>
    </xf>
    <xf numFmtId="6" fontId="4" fillId="0" borderId="0">
      <alignment horizontal="right"/>
    </xf>
    <xf numFmtId="9" fontId="4" fillId="0" borderId="0"/>
    <xf numFmtId="0" fontId="13" fillId="0" borderId="0"/>
    <xf numFmtId="44" fontId="2" fillId="0" borderId="0"/>
    <xf numFmtId="174" fontId="20" fillId="0" borderId="0"/>
    <xf numFmtId="40" fontId="22" fillId="0" borderId="0"/>
    <xf numFmtId="9" fontId="22" fillId="0" borderId="0"/>
    <xf numFmtId="44" fontId="21" fillId="0" borderId="0"/>
    <xf numFmtId="174" fontId="23" fillId="0" borderId="0"/>
    <xf numFmtId="0" fontId="7" fillId="0" borderId="0"/>
    <xf numFmtId="174" fontId="21" fillId="0" borderId="0"/>
  </cellStyleXfs>
  <cellXfs count="442">
    <xf numFmtId="0" fontId="0" fillId="0" borderId="0" xfId="0"/>
    <xf numFmtId="164" fontId="0" fillId="2" borderId="9" xfId="1" applyNumberFormat="1" applyFont="1" applyFill="1" applyBorder="1"/>
    <xf numFmtId="0" fontId="3" fillId="0" borderId="0" xfId="0" applyFont="1"/>
    <xf numFmtId="0" fontId="8" fillId="0" borderId="0" xfId="0" applyFont="1" applyAlignment="1">
      <alignment horizontal="left"/>
    </xf>
    <xf numFmtId="164" fontId="0" fillId="0" borderId="0" xfId="1" applyNumberFormat="1" applyFont="1"/>
    <xf numFmtId="0" fontId="11" fillId="2" borderId="9" xfId="0" applyFont="1" applyFill="1" applyBorder="1" applyAlignment="1">
      <alignment horizontal="center"/>
    </xf>
    <xf numFmtId="0" fontId="11" fillId="2" borderId="9" xfId="0" applyFont="1" applyFill="1" applyBorder="1" applyAlignment="1">
      <alignment horizontal="center" wrapText="1"/>
    </xf>
    <xf numFmtId="0" fontId="11" fillId="0" borderId="0" xfId="0" applyFont="1"/>
    <xf numFmtId="164" fontId="11" fillId="2" borderId="9" xfId="1" applyNumberFormat="1" applyFont="1" applyFill="1" applyBorder="1"/>
    <xf numFmtId="164" fontId="3" fillId="0" borderId="0" xfId="1" applyNumberFormat="1" applyFont="1"/>
    <xf numFmtId="0" fontId="12" fillId="0" borderId="0" xfId="0" applyFont="1"/>
    <xf numFmtId="164" fontId="11" fillId="0" borderId="0" xfId="1" applyNumberFormat="1" applyFont="1"/>
    <xf numFmtId="0" fontId="0" fillId="0" borderId="0" xfId="0" applyAlignment="1">
      <alignment horizontal="center"/>
    </xf>
    <xf numFmtId="0" fontId="15" fillId="0" borderId="0" xfId="0" applyFont="1"/>
    <xf numFmtId="14" fontId="3" fillId="2" borderId="9" xfId="0" applyNumberFormat="1" applyFont="1" applyFill="1" applyBorder="1" applyAlignment="1">
      <alignment horizontal="center"/>
    </xf>
    <xf numFmtId="164" fontId="3" fillId="2" borderId="9" xfId="1" applyNumberFormat="1" applyFont="1" applyFill="1" applyBorder="1"/>
    <xf numFmtId="164" fontId="0" fillId="2" borderId="9" xfId="0" applyNumberFormat="1" applyFill="1" applyBorder="1"/>
    <xf numFmtId="0" fontId="3" fillId="2" borderId="9" xfId="0" applyFont="1" applyFill="1" applyBorder="1"/>
    <xf numFmtId="0" fontId="3" fillId="2" borderId="9" xfId="0" applyFont="1" applyFill="1" applyBorder="1" applyAlignment="1">
      <alignment horizontal="left"/>
    </xf>
    <xf numFmtId="164" fontId="0" fillId="0" borderId="9" xfId="1" applyNumberFormat="1" applyFont="1" applyBorder="1"/>
    <xf numFmtId="0" fontId="7" fillId="5" borderId="9" xfId="0" applyFont="1" applyFill="1" applyBorder="1" applyAlignment="1" applyProtection="1">
      <alignment horizontal="center" vertical="center"/>
      <protection locked="0"/>
    </xf>
    <xf numFmtId="0" fontId="3" fillId="2" borderId="9" xfId="0" applyFont="1" applyFill="1" applyBorder="1" applyAlignment="1">
      <alignment horizontal="center"/>
    </xf>
    <xf numFmtId="0" fontId="0" fillId="2" borderId="9" xfId="0" applyFill="1" applyBorder="1" applyAlignment="1">
      <alignment horizontal="center"/>
    </xf>
    <xf numFmtId="14" fontId="5" fillId="2" borderId="9" xfId="3" applyNumberFormat="1" applyFont="1" applyFill="1" applyBorder="1" applyAlignment="1">
      <alignment horizontal="center"/>
    </xf>
    <xf numFmtId="0" fontId="0" fillId="0" borderId="0" xfId="0" quotePrefix="1"/>
    <xf numFmtId="165" fontId="0" fillId="0" borderId="0" xfId="2" applyNumberFormat="1" applyFont="1"/>
    <xf numFmtId="0" fontId="11" fillId="2" borderId="0" xfId="0" applyFont="1" applyFill="1"/>
    <xf numFmtId="43" fontId="0" fillId="0" borderId="0" xfId="0" applyNumberFormat="1"/>
    <xf numFmtId="0" fontId="14" fillId="0" borderId="0" xfId="8" applyFont="1" applyAlignment="1" applyProtection="1">
      <alignment horizontal="center"/>
      <protection locked="0"/>
    </xf>
    <xf numFmtId="0" fontId="0" fillId="5" borderId="0" xfId="0" applyFill="1" applyAlignment="1" applyProtection="1">
      <alignment horizontal="center"/>
      <protection locked="0"/>
    </xf>
    <xf numFmtId="0" fontId="14" fillId="0" borderId="0" xfId="8" applyFont="1" applyAlignment="1">
      <alignment horizontal="center"/>
    </xf>
    <xf numFmtId="0" fontId="9" fillId="2" borderId="9" xfId="0" applyFont="1" applyFill="1" applyBorder="1" applyAlignment="1">
      <alignment horizontal="center"/>
    </xf>
    <xf numFmtId="0" fontId="9" fillId="2" borderId="9" xfId="0" applyFont="1" applyFill="1" applyBorder="1" applyAlignment="1">
      <alignment horizontal="center" wrapText="1"/>
    </xf>
    <xf numFmtId="0" fontId="9" fillId="2" borderId="9" xfId="0" applyFont="1" applyFill="1" applyBorder="1"/>
    <xf numFmtId="164" fontId="9" fillId="2" borderId="9" xfId="1" applyNumberFormat="1" applyFont="1" applyFill="1" applyBorder="1"/>
    <xf numFmtId="43" fontId="9" fillId="2" borderId="9" xfId="1" applyFont="1" applyFill="1" applyBorder="1"/>
    <xf numFmtId="0" fontId="0" fillId="4" borderId="9" xfId="0" applyFill="1" applyBorder="1"/>
    <xf numFmtId="2" fontId="0" fillId="4" borderId="9" xfId="0" applyNumberFormat="1" applyFill="1" applyBorder="1"/>
    <xf numFmtId="0" fontId="0" fillId="3" borderId="9" xfId="0" applyFill="1" applyBorder="1"/>
    <xf numFmtId="2" fontId="0" fillId="3" borderId="9" xfId="0" applyNumberFormat="1" applyFill="1" applyBorder="1"/>
    <xf numFmtId="0" fontId="9" fillId="4" borderId="9" xfId="0" applyFont="1" applyFill="1" applyBorder="1"/>
    <xf numFmtId="2" fontId="9" fillId="2" borderId="9" xfId="0" applyNumberFormat="1" applyFont="1" applyFill="1" applyBorder="1"/>
    <xf numFmtId="0" fontId="19" fillId="2" borderId="0" xfId="0" applyFont="1" applyFill="1"/>
    <xf numFmtId="10" fontId="19" fillId="2" borderId="0" xfId="2" applyNumberFormat="1" applyFont="1" applyFill="1"/>
    <xf numFmtId="43" fontId="0" fillId="0" borderId="0" xfId="1" applyFont="1"/>
    <xf numFmtId="0" fontId="9" fillId="0" borderId="0" xfId="0" applyFont="1" applyAlignment="1">
      <alignment horizontal="center"/>
    </xf>
    <xf numFmtId="0" fontId="0" fillId="4" borderId="0" xfId="0" applyFill="1"/>
    <xf numFmtId="49" fontId="0" fillId="0" borderId="9" xfId="0" applyNumberFormat="1" applyBorder="1" applyAlignment="1">
      <alignment horizontal="left" indent="1"/>
    </xf>
    <xf numFmtId="164" fontId="0" fillId="0" borderId="9" xfId="0" applyNumberFormat="1" applyBorder="1"/>
    <xf numFmtId="164" fontId="0" fillId="0" borderId="0" xfId="0" applyNumberFormat="1"/>
    <xf numFmtId="49" fontId="3" fillId="2" borderId="0" xfId="0" applyNumberFormat="1" applyFont="1" applyFill="1"/>
    <xf numFmtId="164" fontId="3" fillId="2" borderId="0" xfId="0" applyNumberFormat="1" applyFont="1" applyFill="1"/>
    <xf numFmtId="164" fontId="3" fillId="2" borderId="0" xfId="1" applyNumberFormat="1" applyFont="1" applyFill="1"/>
    <xf numFmtId="164" fontId="3" fillId="0" borderId="0" xfId="0" applyNumberFormat="1" applyFont="1"/>
    <xf numFmtId="49" fontId="0" fillId="0" borderId="0" xfId="0" applyNumberFormat="1"/>
    <xf numFmtId="0" fontId="3" fillId="2" borderId="0" xfId="0" applyFont="1" applyFill="1"/>
    <xf numFmtId="0" fontId="16" fillId="2" borderId="0" xfId="0" applyFont="1" applyFill="1"/>
    <xf numFmtId="164" fontId="11" fillId="2" borderId="0" xfId="0" applyNumberFormat="1" applyFont="1" applyFill="1"/>
    <xf numFmtId="164" fontId="0" fillId="5" borderId="9" xfId="1" applyNumberFormat="1" applyFont="1" applyFill="1" applyBorder="1" applyAlignment="1" applyProtection="1">
      <alignment horizontal="center"/>
      <protection locked="0"/>
    </xf>
    <xf numFmtId="43" fontId="3" fillId="2" borderId="9" xfId="1" applyFont="1" applyFill="1" applyBorder="1"/>
    <xf numFmtId="164" fontId="0" fillId="2" borderId="0" xfId="1" applyNumberFormat="1" applyFont="1" applyFill="1"/>
    <xf numFmtId="164" fontId="0" fillId="4" borderId="0" xfId="1" applyNumberFormat="1" applyFont="1" applyFill="1"/>
    <xf numFmtId="0" fontId="11" fillId="0" borderId="0" xfId="0" applyFont="1" applyAlignment="1">
      <alignment horizontal="center"/>
    </xf>
    <xf numFmtId="0" fontId="19" fillId="0" borderId="0" xfId="0" applyFont="1"/>
    <xf numFmtId="0" fontId="13" fillId="0" borderId="0" xfId="8" applyAlignment="1" applyProtection="1">
      <alignment horizontal="center"/>
      <protection locked="0"/>
    </xf>
    <xf numFmtId="0" fontId="16" fillId="0" borderId="0" xfId="0" applyFont="1"/>
    <xf numFmtId="0" fontId="25" fillId="0" borderId="0" xfId="3" applyFont="1" applyAlignment="1">
      <alignment horizontal="left" vertical="center"/>
    </xf>
    <xf numFmtId="0" fontId="25" fillId="0" borderId="0" xfId="3" applyFont="1" applyAlignment="1">
      <alignment horizontal="left"/>
    </xf>
    <xf numFmtId="0" fontId="16" fillId="2" borderId="9" xfId="0" applyFont="1" applyFill="1" applyBorder="1" applyAlignment="1">
      <alignment horizontal="center"/>
    </xf>
    <xf numFmtId="0" fontId="24" fillId="0" borderId="17" xfId="3" applyFont="1" applyBorder="1" applyAlignment="1">
      <alignment horizontal="left" indent="1"/>
    </xf>
    <xf numFmtId="0" fontId="26" fillId="0" borderId="0" xfId="3" applyFont="1"/>
    <xf numFmtId="14" fontId="25" fillId="2" borderId="9" xfId="3" applyNumberFormat="1" applyFont="1" applyFill="1" applyBorder="1" applyAlignment="1">
      <alignment horizontal="center"/>
    </xf>
    <xf numFmtId="0" fontId="25" fillId="0" borderId="0" xfId="3" applyFont="1"/>
    <xf numFmtId="38" fontId="25" fillId="0" borderId="2" xfId="5" applyFont="1" applyBorder="1">
      <alignment horizontal="right"/>
    </xf>
    <xf numFmtId="38" fontId="25" fillId="0" borderId="16" xfId="5" applyFont="1" applyBorder="1">
      <alignment horizontal="right"/>
    </xf>
    <xf numFmtId="38" fontId="27" fillId="0" borderId="2" xfId="5" applyFont="1" applyBorder="1">
      <alignment horizontal="right"/>
    </xf>
    <xf numFmtId="0" fontId="27" fillId="0" borderId="0" xfId="3" applyFont="1" applyAlignment="1">
      <alignment horizontal="left" indent="1"/>
    </xf>
    <xf numFmtId="164" fontId="27" fillId="0" borderId="2" xfId="1" applyNumberFormat="1" applyFont="1" applyBorder="1" applyAlignment="1">
      <alignment horizontal="right"/>
    </xf>
    <xf numFmtId="164" fontId="25" fillId="0" borderId="2" xfId="1" applyNumberFormat="1" applyFont="1" applyBorder="1" applyAlignment="1">
      <alignment horizontal="right"/>
    </xf>
    <xf numFmtId="0" fontId="25" fillId="2" borderId="0" xfId="3" applyFont="1" applyFill="1" applyAlignment="1">
      <alignment horizontal="left" indent="1"/>
    </xf>
    <xf numFmtId="164" fontId="25" fillId="2" borderId="3" xfId="1" applyNumberFormat="1" applyFont="1" applyFill="1" applyBorder="1" applyAlignment="1">
      <alignment horizontal="right"/>
    </xf>
    <xf numFmtId="0" fontId="27" fillId="0" borderId="0" xfId="3" applyFont="1" applyAlignment="1">
      <alignment horizontal="left"/>
    </xf>
    <xf numFmtId="164" fontId="27" fillId="3" borderId="2" xfId="1" applyNumberFormat="1" applyFont="1" applyFill="1" applyBorder="1" applyAlignment="1" applyProtection="1">
      <alignment horizontal="right"/>
      <protection locked="0"/>
    </xf>
    <xf numFmtId="0" fontId="28" fillId="0" borderId="0" xfId="0" applyFont="1" applyAlignment="1">
      <alignment horizontal="left" indent="1"/>
    </xf>
    <xf numFmtId="0" fontId="25" fillId="2" borderId="0" xfId="3" applyFont="1" applyFill="1" applyAlignment="1">
      <alignment horizontal="left"/>
    </xf>
    <xf numFmtId="164" fontId="25" fillId="2" borderId="1" xfId="1" applyNumberFormat="1" applyFont="1" applyFill="1" applyBorder="1" applyAlignment="1">
      <alignment horizontal="right"/>
    </xf>
    <xf numFmtId="164" fontId="25" fillId="2" borderId="4" xfId="1" applyNumberFormat="1" applyFont="1" applyFill="1" applyBorder="1" applyAlignment="1">
      <alignment horizontal="right"/>
    </xf>
    <xf numFmtId="0" fontId="27" fillId="0" borderId="0" xfId="3" applyFont="1"/>
    <xf numFmtId="0" fontId="25" fillId="2" borderId="0" xfId="3" applyFont="1" applyFill="1"/>
    <xf numFmtId="0" fontId="30" fillId="0" borderId="0" xfId="3" applyFont="1"/>
    <xf numFmtId="0" fontId="30" fillId="2" borderId="0" xfId="3" applyFont="1" applyFill="1"/>
    <xf numFmtId="0" fontId="28" fillId="5" borderId="0" xfId="0" applyFont="1" applyFill="1" applyProtection="1">
      <protection locked="0"/>
    </xf>
    <xf numFmtId="9" fontId="30" fillId="5" borderId="0" xfId="7" applyFont="1" applyFill="1" applyAlignment="1" applyProtection="1">
      <alignment horizontal="left" indent="1"/>
      <protection locked="0"/>
    </xf>
    <xf numFmtId="0" fontId="28" fillId="0" borderId="0" xfId="0" applyFont="1"/>
    <xf numFmtId="0" fontId="29" fillId="0" borderId="0" xfId="3" applyFont="1"/>
    <xf numFmtId="0" fontId="30" fillId="0" borderId="0" xfId="0" applyFont="1"/>
    <xf numFmtId="0" fontId="31" fillId="3" borderId="5" xfId="8" applyFont="1" applyFill="1" applyBorder="1" applyAlignment="1">
      <alignment horizontal="center" vertical="center"/>
    </xf>
    <xf numFmtId="0" fontId="32" fillId="3" borderId="6" xfId="0" applyFont="1" applyFill="1" applyBorder="1" applyAlignment="1">
      <alignment horizontal="center" wrapText="1"/>
    </xf>
    <xf numFmtId="0" fontId="33" fillId="3" borderId="7" xfId="0" applyFont="1" applyFill="1" applyBorder="1"/>
    <xf numFmtId="0" fontId="31" fillId="3" borderId="8" xfId="8" applyFont="1" applyFill="1" applyBorder="1" applyProtection="1">
      <protection locked="0"/>
    </xf>
    <xf numFmtId="0" fontId="33" fillId="3" borderId="10" xfId="0" applyFont="1" applyFill="1" applyBorder="1"/>
    <xf numFmtId="0" fontId="31" fillId="3" borderId="11" xfId="8" applyFont="1" applyFill="1" applyBorder="1" applyProtection="1">
      <protection locked="0"/>
    </xf>
    <xf numFmtId="0" fontId="33" fillId="3" borderId="13" xfId="0" applyFont="1" applyFill="1" applyBorder="1"/>
    <xf numFmtId="165" fontId="33" fillId="3" borderId="9" xfId="2" applyNumberFormat="1" applyFont="1" applyFill="1" applyBorder="1" applyAlignment="1">
      <alignment horizontal="center"/>
    </xf>
    <xf numFmtId="165" fontId="33" fillId="3" borderId="12" xfId="2" applyNumberFormat="1" applyFont="1" applyFill="1" applyBorder="1" applyAlignment="1">
      <alignment horizontal="center"/>
    </xf>
    <xf numFmtId="0" fontId="0" fillId="0" borderId="0" xfId="0" applyAlignment="1">
      <alignment vertical="center" wrapText="1"/>
    </xf>
    <xf numFmtId="1" fontId="0" fillId="0" borderId="0" xfId="1" applyNumberFormat="1" applyFont="1" applyAlignment="1">
      <alignment horizontal="right" vertical="center" wrapText="1"/>
    </xf>
    <xf numFmtId="165" fontId="26" fillId="2" borderId="0" xfId="7" applyNumberFormat="1" applyFont="1" applyFill="1" applyAlignment="1">
      <alignment horizontal="center"/>
    </xf>
    <xf numFmtId="164" fontId="30" fillId="0" borderId="2" xfId="1" applyNumberFormat="1" applyFont="1" applyBorder="1" applyAlignment="1" applyProtection="1">
      <alignment horizontal="right"/>
      <protection locked="0"/>
    </xf>
    <xf numFmtId="0" fontId="35" fillId="2" borderId="0" xfId="8" applyFont="1" applyFill="1"/>
    <xf numFmtId="1" fontId="19" fillId="0" borderId="0" xfId="1" applyNumberFormat="1" applyFont="1" applyAlignment="1">
      <alignment horizontal="right" vertical="center" wrapText="1"/>
    </xf>
    <xf numFmtId="43" fontId="3" fillId="0" borderId="0" xfId="1" applyFont="1"/>
    <xf numFmtId="0" fontId="27" fillId="2" borderId="0" xfId="3" applyFont="1" applyFill="1" applyAlignment="1">
      <alignment horizontal="left" indent="1"/>
    </xf>
    <xf numFmtId="0" fontId="13" fillId="0" borderId="0" xfId="8"/>
    <xf numFmtId="166" fontId="6" fillId="2" borderId="2" xfId="5" applyNumberFormat="1" applyFont="1" applyFill="1" applyBorder="1" applyAlignment="1" applyProtection="1">
      <alignment horizontal="center"/>
      <protection locked="0"/>
    </xf>
    <xf numFmtId="0" fontId="16" fillId="2" borderId="0" xfId="0" applyFont="1" applyFill="1" applyAlignment="1">
      <alignment horizontal="center"/>
    </xf>
    <xf numFmtId="43" fontId="11" fillId="2" borderId="9" xfId="1" applyFont="1" applyFill="1" applyBorder="1"/>
    <xf numFmtId="43" fontId="0" fillId="2" borderId="9" xfId="1" applyFont="1" applyFill="1" applyBorder="1" applyAlignment="1" applyProtection="1">
      <alignment horizontal="center"/>
      <protection locked="0"/>
    </xf>
    <xf numFmtId="0" fontId="0" fillId="0" borderId="9" xfId="0" applyBorder="1"/>
    <xf numFmtId="0" fontId="0" fillId="2" borderId="9" xfId="0" applyFill="1" applyBorder="1"/>
    <xf numFmtId="0" fontId="9" fillId="2" borderId="0" xfId="0" applyFont="1" applyFill="1"/>
    <xf numFmtId="43" fontId="19" fillId="0" borderId="0" xfId="1" applyFont="1"/>
    <xf numFmtId="164" fontId="0" fillId="2" borderId="9" xfId="1" applyNumberFormat="1" applyFont="1" applyFill="1" applyBorder="1" applyProtection="1">
      <protection locked="0"/>
    </xf>
    <xf numFmtId="164" fontId="1" fillId="2" borderId="9" xfId="1" applyNumberFormat="1" applyFont="1" applyFill="1" applyBorder="1"/>
    <xf numFmtId="0" fontId="6" fillId="0" borderId="0" xfId="3" applyFont="1" applyAlignment="1">
      <alignment horizontal="left" indent="2"/>
    </xf>
    <xf numFmtId="164" fontId="6" fillId="3" borderId="2" xfId="1" applyNumberFormat="1" applyFont="1" applyFill="1" applyBorder="1" applyAlignment="1" applyProtection="1">
      <alignment horizontal="right"/>
      <protection locked="0"/>
    </xf>
    <xf numFmtId="167" fontId="0" fillId="0" borderId="9" xfId="2" applyNumberFormat="1" applyFont="1" applyBorder="1"/>
    <xf numFmtId="167" fontId="3" fillId="2" borderId="0" xfId="2" applyNumberFormat="1" applyFont="1" applyFill="1"/>
    <xf numFmtId="167" fontId="3" fillId="2" borderId="0" xfId="1" applyNumberFormat="1" applyFont="1" applyFill="1"/>
    <xf numFmtId="168" fontId="11" fillId="2" borderId="0" xfId="1" applyNumberFormat="1" applyFont="1" applyFill="1"/>
    <xf numFmtId="167" fontId="0" fillId="2" borderId="0" xfId="2" applyNumberFormat="1" applyFont="1" applyFill="1"/>
    <xf numFmtId="14" fontId="17" fillId="0" borderId="0" xfId="3" applyNumberFormat="1" applyFont="1"/>
    <xf numFmtId="0" fontId="17" fillId="0" borderId="0" xfId="0" applyFont="1"/>
    <xf numFmtId="14" fontId="24" fillId="6" borderId="9" xfId="3" applyNumberFormat="1" applyFont="1" applyFill="1" applyBorder="1" applyAlignment="1" applyProtection="1">
      <alignment horizontal="left" indent="1"/>
      <protection locked="0"/>
    </xf>
    <xf numFmtId="10" fontId="30" fillId="6" borderId="0" xfId="2" applyNumberFormat="1" applyFont="1" applyFill="1" applyProtection="1">
      <protection locked="0"/>
    </xf>
    <xf numFmtId="164" fontId="25" fillId="6" borderId="0" xfId="1" applyNumberFormat="1" applyFont="1" applyFill="1" applyAlignment="1" applyProtection="1">
      <alignment horizontal="right"/>
      <protection locked="0"/>
    </xf>
    <xf numFmtId="0" fontId="7" fillId="6" borderId="9" xfId="0" applyFont="1" applyFill="1" applyBorder="1" applyProtection="1">
      <protection locked="0"/>
    </xf>
    <xf numFmtId="169" fontId="34" fillId="6" borderId="9" xfId="9" applyNumberFormat="1" applyFont="1" applyFill="1" applyBorder="1" applyAlignment="1" applyProtection="1">
      <alignment horizontal="left" vertical="center"/>
      <protection locked="0"/>
    </xf>
    <xf numFmtId="43" fontId="0" fillId="6" borderId="9" xfId="1" applyFont="1" applyFill="1" applyBorder="1" applyProtection="1">
      <protection locked="0"/>
    </xf>
    <xf numFmtId="164" fontId="0" fillId="6" borderId="9" xfId="1" applyNumberFormat="1" applyFont="1" applyFill="1" applyBorder="1" applyProtection="1">
      <protection locked="0"/>
    </xf>
    <xf numFmtId="0" fontId="0" fillId="6" borderId="9" xfId="0" applyFill="1" applyBorder="1" applyProtection="1">
      <protection locked="0"/>
    </xf>
    <xf numFmtId="164" fontId="0" fillId="6" borderId="9" xfId="1" applyNumberFormat="1" applyFont="1" applyFill="1" applyBorder="1" applyAlignment="1" applyProtection="1">
      <alignment horizontal="center"/>
      <protection locked="0"/>
    </xf>
    <xf numFmtId="44" fontId="0" fillId="6" borderId="9" xfId="9" applyFont="1" applyFill="1" applyBorder="1" applyProtection="1">
      <protection locked="0"/>
    </xf>
    <xf numFmtId="0" fontId="1" fillId="6" borderId="9" xfId="0" applyFont="1" applyFill="1" applyBorder="1" applyProtection="1">
      <protection locked="0"/>
    </xf>
    <xf numFmtId="10" fontId="0" fillId="0" borderId="9" xfId="0" applyNumberFormat="1" applyBorder="1" applyAlignment="1">
      <alignment vertical="center" wrapText="1"/>
    </xf>
    <xf numFmtId="0" fontId="0" fillId="0" borderId="9" xfId="0" applyBorder="1" applyAlignment="1">
      <alignment horizontal="center"/>
    </xf>
    <xf numFmtId="164" fontId="28" fillId="0" borderId="0" xfId="0" applyNumberFormat="1" applyFont="1"/>
    <xf numFmtId="10" fontId="28" fillId="0" borderId="0" xfId="2" applyNumberFormat="1" applyFont="1"/>
    <xf numFmtId="0" fontId="24" fillId="6" borderId="9" xfId="3" applyFont="1" applyFill="1" applyBorder="1" applyAlignment="1" applyProtection="1">
      <alignment horizontal="center"/>
      <protection locked="0"/>
    </xf>
    <xf numFmtId="10" fontId="0" fillId="0" borderId="9" xfId="2" applyNumberFormat="1" applyFont="1" applyBorder="1"/>
    <xf numFmtId="10" fontId="0" fillId="0" borderId="0" xfId="0" applyNumberFormat="1"/>
    <xf numFmtId="10" fontId="3" fillId="2" borderId="0" xfId="2" applyNumberFormat="1" applyFont="1" applyFill="1"/>
    <xf numFmtId="164" fontId="0" fillId="6" borderId="0" xfId="1" applyNumberFormat="1" applyFont="1" applyFill="1" applyProtection="1">
      <protection locked="0"/>
    </xf>
    <xf numFmtId="0" fontId="7" fillId="2" borderId="0" xfId="0" applyFont="1" applyFill="1"/>
    <xf numFmtId="0" fontId="3" fillId="0" borderId="0" xfId="0" applyFont="1" applyAlignment="1">
      <alignment horizontal="center"/>
    </xf>
    <xf numFmtId="0" fontId="25" fillId="7" borderId="0" xfId="3" applyFont="1" applyFill="1" applyAlignment="1">
      <alignment horizontal="left" indent="1"/>
    </xf>
    <xf numFmtId="164" fontId="25" fillId="7" borderId="3" xfId="1" applyNumberFormat="1" applyFont="1" applyFill="1" applyBorder="1" applyAlignment="1">
      <alignment horizontal="right"/>
    </xf>
    <xf numFmtId="0" fontId="25" fillId="7" borderId="0" xfId="3" applyFont="1" applyFill="1" applyAlignment="1">
      <alignment horizontal="left"/>
    </xf>
    <xf numFmtId="164" fontId="25" fillId="7" borderId="1" xfId="1" applyNumberFormat="1" applyFont="1" applyFill="1" applyBorder="1" applyAlignment="1">
      <alignment horizontal="right"/>
    </xf>
    <xf numFmtId="164" fontId="25" fillId="7" borderId="4" xfId="1" applyNumberFormat="1" applyFont="1" applyFill="1" applyBorder="1" applyAlignment="1">
      <alignment horizontal="right"/>
    </xf>
    <xf numFmtId="0" fontId="25" fillId="7" borderId="0" xfId="3" applyFont="1" applyFill="1"/>
    <xf numFmtId="49" fontId="3" fillId="7" borderId="0" xfId="0" applyNumberFormat="1" applyFont="1" applyFill="1"/>
    <xf numFmtId="164" fontId="3" fillId="7" borderId="0" xfId="0" applyNumberFormat="1" applyFont="1" applyFill="1"/>
    <xf numFmtId="0" fontId="3" fillId="7" borderId="0" xfId="0" applyFont="1" applyFill="1"/>
    <xf numFmtId="0" fontId="16" fillId="7" borderId="0" xfId="0" applyFont="1" applyFill="1"/>
    <xf numFmtId="164" fontId="11" fillId="7" borderId="0" xfId="0" applyNumberFormat="1" applyFont="1" applyFill="1"/>
    <xf numFmtId="0" fontId="11" fillId="7" borderId="0" xfId="0" applyFont="1" applyFill="1"/>
    <xf numFmtId="0" fontId="0" fillId="7" borderId="0" xfId="0" applyFill="1"/>
    <xf numFmtId="10" fontId="3" fillId="7" borderId="0" xfId="2" applyNumberFormat="1" applyFont="1" applyFill="1"/>
    <xf numFmtId="167" fontId="3" fillId="7" borderId="0" xfId="1" applyNumberFormat="1" applyFont="1" applyFill="1"/>
    <xf numFmtId="167" fontId="3" fillId="7" borderId="0" xfId="2" applyNumberFormat="1" applyFont="1" applyFill="1"/>
    <xf numFmtId="164" fontId="27" fillId="7" borderId="2" xfId="1" applyNumberFormat="1" applyFont="1" applyFill="1" applyBorder="1" applyAlignment="1">
      <alignment horizontal="right"/>
    </xf>
    <xf numFmtId="0" fontId="28" fillId="0" borderId="18" xfId="0" applyFont="1" applyBorder="1" applyAlignment="1">
      <alignment horizontal="left" indent="1"/>
    </xf>
    <xf numFmtId="164" fontId="27" fillId="0" borderId="19" xfId="1" applyNumberFormat="1" applyFont="1" applyBorder="1" applyAlignment="1">
      <alignment horizontal="right"/>
    </xf>
    <xf numFmtId="164" fontId="25" fillId="0" borderId="19" xfId="1" applyNumberFormat="1" applyFont="1" applyBorder="1" applyAlignment="1">
      <alignment horizontal="right"/>
    </xf>
    <xf numFmtId="0" fontId="16" fillId="3" borderId="0" xfId="0" applyFont="1" applyFill="1" applyAlignment="1">
      <alignment horizontal="left"/>
    </xf>
    <xf numFmtId="0" fontId="16" fillId="2" borderId="14" xfId="0" applyFont="1" applyFill="1" applyBorder="1" applyAlignment="1">
      <alignment horizontal="center"/>
    </xf>
    <xf numFmtId="0" fontId="16" fillId="7" borderId="0" xfId="0" applyFont="1" applyFill="1" applyAlignment="1">
      <alignment horizontal="center"/>
    </xf>
    <xf numFmtId="0" fontId="25" fillId="3" borderId="0" xfId="3" applyFont="1" applyFill="1"/>
    <xf numFmtId="164" fontId="25" fillId="3" borderId="3" xfId="1" applyNumberFormat="1" applyFont="1" applyFill="1" applyBorder="1" applyAlignment="1">
      <alignment horizontal="right"/>
    </xf>
    <xf numFmtId="164" fontId="27" fillId="3" borderId="2" xfId="1" applyNumberFormat="1" applyFont="1" applyFill="1" applyBorder="1" applyAlignment="1">
      <alignment horizontal="right"/>
    </xf>
    <xf numFmtId="0" fontId="0" fillId="8" borderId="9" xfId="0" applyFill="1" applyBorder="1" applyProtection="1">
      <protection locked="0"/>
    </xf>
    <xf numFmtId="0" fontId="0" fillId="5" borderId="9" xfId="0" applyFill="1" applyBorder="1" applyProtection="1">
      <protection locked="0"/>
    </xf>
    <xf numFmtId="164" fontId="0" fillId="5" borderId="9" xfId="1" applyNumberFormat="1" applyFont="1" applyFill="1" applyBorder="1" applyAlignment="1" applyProtection="1">
      <alignment horizontal="left"/>
      <protection locked="0"/>
    </xf>
    <xf numFmtId="44" fontId="11" fillId="2" borderId="9" xfId="9" applyFont="1" applyFill="1" applyBorder="1" applyAlignment="1">
      <alignment horizontal="center" wrapText="1"/>
    </xf>
    <xf numFmtId="0" fontId="0" fillId="0" borderId="9" xfId="0" applyBorder="1" applyAlignment="1">
      <alignment horizontal="left" indent="1"/>
    </xf>
    <xf numFmtId="164" fontId="27" fillId="0" borderId="2" xfId="1" quotePrefix="1" applyNumberFormat="1" applyFont="1" applyBorder="1" applyAlignment="1">
      <alignment horizontal="right"/>
    </xf>
    <xf numFmtId="14" fontId="3" fillId="0" borderId="0" xfId="0" applyNumberFormat="1" applyFont="1" applyAlignment="1">
      <alignment horizontal="left"/>
    </xf>
    <xf numFmtId="10" fontId="3" fillId="3" borderId="0" xfId="2" applyNumberFormat="1" applyFont="1" applyFill="1"/>
    <xf numFmtId="0" fontId="0" fillId="3" borderId="0" xfId="0" applyFill="1"/>
    <xf numFmtId="167" fontId="3" fillId="3" borderId="0" xfId="1" applyNumberFormat="1" applyFont="1" applyFill="1"/>
    <xf numFmtId="167" fontId="3" fillId="3" borderId="0" xfId="2" applyNumberFormat="1" applyFont="1" applyFill="1"/>
    <xf numFmtId="0" fontId="3" fillId="2" borderId="0" xfId="0" applyFont="1" applyFill="1" applyAlignment="1">
      <alignment horizontal="center"/>
    </xf>
    <xf numFmtId="0" fontId="3" fillId="7" borderId="0" xfId="0" applyFont="1" applyFill="1" applyAlignment="1">
      <alignment horizontal="center"/>
    </xf>
    <xf numFmtId="168" fontId="11" fillId="7" borderId="0" xfId="1" applyNumberFormat="1" applyFont="1" applyFill="1"/>
    <xf numFmtId="49" fontId="39" fillId="0" borderId="0" xfId="0" applyNumberFormat="1" applyFont="1" applyAlignment="1">
      <alignment wrapText="1"/>
    </xf>
    <xf numFmtId="49" fontId="39" fillId="0" borderId="0" xfId="0" applyNumberFormat="1" applyFont="1" applyAlignment="1">
      <alignment horizontal="center" wrapText="1"/>
    </xf>
    <xf numFmtId="169" fontId="0" fillId="2" borderId="9" xfId="9" applyNumberFormat="1" applyFont="1" applyFill="1" applyBorder="1" applyAlignment="1">
      <alignment horizontal="left"/>
    </xf>
    <xf numFmtId="169" fontId="0" fillId="0" borderId="0" xfId="0" applyNumberFormat="1"/>
    <xf numFmtId="169" fontId="0" fillId="0" borderId="0" xfId="1" applyNumberFormat="1" applyFont="1"/>
    <xf numFmtId="164" fontId="0" fillId="2" borderId="9" xfId="1" applyNumberFormat="1" applyFont="1" applyFill="1" applyBorder="1" applyAlignment="1" applyProtection="1">
      <alignment horizontal="center"/>
      <protection locked="0"/>
    </xf>
    <xf numFmtId="0" fontId="25" fillId="3" borderId="0" xfId="1" applyNumberFormat="1" applyFont="1" applyFill="1" applyAlignment="1">
      <alignment horizontal="right" indent="3"/>
    </xf>
    <xf numFmtId="0" fontId="7" fillId="5" borderId="9" xfId="0" applyFont="1" applyFill="1" applyBorder="1" applyAlignment="1" applyProtection="1">
      <alignment horizontal="left" vertical="center"/>
      <protection locked="0"/>
    </xf>
    <xf numFmtId="0" fontId="7" fillId="4" borderId="9" xfId="0" applyFont="1" applyFill="1" applyBorder="1" applyProtection="1">
      <protection locked="0"/>
    </xf>
    <xf numFmtId="0" fontId="28" fillId="5" borderId="0" xfId="0" applyFont="1" applyFill="1" applyAlignment="1" applyProtection="1">
      <alignment horizontal="left" indent="1"/>
      <protection locked="0"/>
    </xf>
    <xf numFmtId="170" fontId="28" fillId="0" borderId="0" xfId="0" applyNumberFormat="1" applyFont="1"/>
    <xf numFmtId="170" fontId="0" fillId="0" borderId="0" xfId="0" applyNumberFormat="1"/>
    <xf numFmtId="0" fontId="25" fillId="9" borderId="0" xfId="3" applyFont="1" applyFill="1" applyAlignment="1">
      <alignment horizontal="left"/>
    </xf>
    <xf numFmtId="14" fontId="24" fillId="3" borderId="9" xfId="3" applyNumberFormat="1" applyFont="1" applyFill="1" applyBorder="1" applyAlignment="1">
      <alignment horizontal="left" indent="1"/>
    </xf>
    <xf numFmtId="0" fontId="24" fillId="3" borderId="9" xfId="3" applyFont="1" applyFill="1" applyBorder="1" applyAlignment="1">
      <alignment horizontal="center"/>
    </xf>
    <xf numFmtId="164" fontId="6" fillId="0" borderId="2" xfId="1" applyNumberFormat="1" applyFont="1" applyBorder="1" applyAlignment="1">
      <alignment horizontal="right"/>
    </xf>
    <xf numFmtId="164" fontId="5" fillId="2" borderId="4" xfId="1" applyNumberFormat="1" applyFont="1" applyFill="1" applyBorder="1" applyAlignment="1">
      <alignment horizontal="right"/>
    </xf>
    <xf numFmtId="164" fontId="6" fillId="3" borderId="2" xfId="1" applyNumberFormat="1" applyFont="1" applyFill="1" applyBorder="1" applyAlignment="1">
      <alignment horizontal="right"/>
    </xf>
    <xf numFmtId="164" fontId="5" fillId="2" borderId="3" xfId="1" applyNumberFormat="1" applyFont="1" applyFill="1" applyBorder="1" applyAlignment="1">
      <alignment horizontal="right"/>
    </xf>
    <xf numFmtId="10" fontId="8" fillId="10" borderId="0" xfId="7" applyNumberFormat="1" applyFont="1" applyFill="1"/>
    <xf numFmtId="169" fontId="0" fillId="0" borderId="9" xfId="9" applyNumberFormat="1" applyFont="1" applyBorder="1"/>
    <xf numFmtId="0" fontId="3" fillId="0" borderId="0" xfId="0" applyFont="1" applyAlignment="1">
      <alignment horizontal="right"/>
    </xf>
    <xf numFmtId="43" fontId="0" fillId="0" borderId="9" xfId="0" applyNumberFormat="1" applyBorder="1"/>
    <xf numFmtId="169" fontId="3" fillId="0" borderId="9" xfId="9" applyNumberFormat="1" applyFont="1" applyBorder="1"/>
    <xf numFmtId="169" fontId="3" fillId="0" borderId="9" xfId="0" applyNumberFormat="1" applyFont="1" applyBorder="1"/>
    <xf numFmtId="43" fontId="3" fillId="0" borderId="0" xfId="0" applyNumberFormat="1" applyFont="1"/>
    <xf numFmtId="164" fontId="0" fillId="2" borderId="9" xfId="1" applyNumberFormat="1" applyFont="1" applyFill="1" applyBorder="1" applyAlignment="1">
      <alignment horizontal="left"/>
    </xf>
    <xf numFmtId="0" fontId="0" fillId="11" borderId="0" xfId="0" applyFill="1"/>
    <xf numFmtId="169" fontId="0" fillId="11" borderId="9" xfId="9" applyNumberFormat="1" applyFont="1" applyFill="1" applyBorder="1"/>
    <xf numFmtId="9" fontId="0" fillId="0" borderId="9" xfId="2" applyFont="1" applyBorder="1" applyAlignment="1">
      <alignment horizontal="center"/>
    </xf>
    <xf numFmtId="169" fontId="0" fillId="0" borderId="15" xfId="9" applyNumberFormat="1" applyFont="1" applyBorder="1"/>
    <xf numFmtId="169" fontId="0" fillId="0" borderId="9" xfId="0" applyNumberFormat="1" applyBorder="1"/>
    <xf numFmtId="43" fontId="0" fillId="12" borderId="9" xfId="0" applyNumberFormat="1" applyFill="1" applyBorder="1"/>
    <xf numFmtId="44" fontId="0" fillId="0" borderId="9" xfId="9" applyFont="1" applyBorder="1"/>
    <xf numFmtId="0" fontId="0" fillId="0" borderId="2" xfId="0" applyBorder="1"/>
    <xf numFmtId="0" fontId="0" fillId="0" borderId="21" xfId="0" applyBorder="1"/>
    <xf numFmtId="0" fontId="3" fillId="0" borderId="2" xfId="0" applyFont="1" applyBorder="1"/>
    <xf numFmtId="0" fontId="0" fillId="0" borderId="2" xfId="0" applyBorder="1" applyAlignment="1">
      <alignment horizontal="left" indent="2"/>
    </xf>
    <xf numFmtId="0" fontId="3" fillId="0" borderId="2" xfId="0" applyFont="1" applyBorder="1" applyAlignment="1">
      <alignment horizontal="left"/>
    </xf>
    <xf numFmtId="0" fontId="0" fillId="0" borderId="19" xfId="0" applyBorder="1"/>
    <xf numFmtId="0" fontId="0" fillId="0" borderId="18" xfId="0" applyBorder="1"/>
    <xf numFmtId="0" fontId="0" fillId="0" borderId="22" xfId="0" applyBorder="1"/>
    <xf numFmtId="10" fontId="30" fillId="0" borderId="0" xfId="2" applyNumberFormat="1" applyFont="1" applyProtection="1">
      <protection locked="0"/>
    </xf>
    <xf numFmtId="0" fontId="0" fillId="11" borderId="9" xfId="0" applyFill="1" applyBorder="1" applyProtection="1">
      <protection locked="0"/>
    </xf>
    <xf numFmtId="169" fontId="0" fillId="11" borderId="9" xfId="9" applyNumberFormat="1" applyFont="1" applyFill="1" applyBorder="1" applyProtection="1">
      <protection locked="0"/>
    </xf>
    <xf numFmtId="14" fontId="3" fillId="0" borderId="0" xfId="0" applyNumberFormat="1" applyFont="1"/>
    <xf numFmtId="0" fontId="5" fillId="0" borderId="0" xfId="3" applyFont="1" applyAlignment="1">
      <alignment horizontal="left"/>
    </xf>
    <xf numFmtId="0" fontId="4" fillId="0" borderId="0" xfId="3"/>
    <xf numFmtId="0" fontId="40" fillId="0" borderId="0" xfId="3" applyFont="1"/>
    <xf numFmtId="14" fontId="5" fillId="3" borderId="18" xfId="3" applyNumberFormat="1" applyFont="1" applyFill="1" applyBorder="1" applyAlignment="1">
      <alignment horizontal="center"/>
    </xf>
    <xf numFmtId="14" fontId="5" fillId="3" borderId="0" xfId="3" applyNumberFormat="1" applyFont="1" applyFill="1" applyAlignment="1">
      <alignment horizontal="center"/>
    </xf>
    <xf numFmtId="0" fontId="5" fillId="0" borderId="0" xfId="3" applyFont="1"/>
    <xf numFmtId="171" fontId="5" fillId="2" borderId="1" xfId="4" applyFont="1" applyFill="1" applyBorder="1" applyAlignment="1">
      <alignment horizontal="center"/>
    </xf>
    <xf numFmtId="0" fontId="6" fillId="0" borderId="0" xfId="3" applyFont="1"/>
    <xf numFmtId="164" fontId="1" fillId="0" borderId="20" xfId="1" applyNumberFormat="1" applyFont="1" applyBorder="1"/>
    <xf numFmtId="0" fontId="5" fillId="2" borderId="0" xfId="3" applyFont="1" applyFill="1"/>
    <xf numFmtId="0" fontId="6" fillId="3" borderId="0" xfId="3" applyFont="1" applyFill="1"/>
    <xf numFmtId="0" fontId="8" fillId="0" borderId="0" xfId="3" applyFont="1"/>
    <xf numFmtId="14" fontId="0" fillId="0" borderId="9" xfId="0" applyNumberFormat="1" applyBorder="1"/>
    <xf numFmtId="14" fontId="0" fillId="0" borderId="0" xfId="0" applyNumberFormat="1"/>
    <xf numFmtId="10" fontId="0" fillId="0" borderId="9" xfId="2" applyNumberFormat="1" applyFont="1" applyBorder="1" applyAlignment="1">
      <alignment horizontal="center"/>
    </xf>
    <xf numFmtId="10" fontId="0" fillId="0" borderId="0" xfId="2" applyNumberFormat="1" applyFont="1"/>
    <xf numFmtId="0" fontId="0" fillId="0" borderId="0" xfId="0" applyAlignment="1">
      <alignment horizontal="left" indent="1"/>
    </xf>
    <xf numFmtId="169" fontId="0" fillId="0" borderId="0" xfId="9" applyNumberFormat="1" applyFont="1"/>
    <xf numFmtId="169" fontId="19" fillId="4" borderId="9" xfId="9" applyNumberFormat="1" applyFont="1" applyFill="1" applyBorder="1" applyAlignment="1" applyProtection="1">
      <alignment horizontal="left" vertical="center"/>
      <protection hidden="1"/>
    </xf>
    <xf numFmtId="0" fontId="0" fillId="13" borderId="0" xfId="0" applyFill="1" applyProtection="1">
      <protection locked="0"/>
    </xf>
    <xf numFmtId="164" fontId="27" fillId="14" borderId="2" xfId="1" applyNumberFormat="1" applyFont="1" applyFill="1" applyBorder="1" applyAlignment="1">
      <alignment horizontal="right"/>
    </xf>
    <xf numFmtId="164" fontId="25" fillId="14" borderId="2" xfId="1" applyNumberFormat="1" applyFont="1" applyFill="1" applyBorder="1" applyAlignment="1">
      <alignment horizontal="right"/>
    </xf>
    <xf numFmtId="0" fontId="28" fillId="7" borderId="0" xfId="0" applyFont="1" applyFill="1" applyAlignment="1">
      <alignment horizontal="left" indent="1"/>
    </xf>
    <xf numFmtId="164" fontId="25" fillId="7" borderId="2" xfId="1" applyNumberFormat="1" applyFont="1" applyFill="1" applyBorder="1" applyAlignment="1">
      <alignment horizontal="right"/>
    </xf>
    <xf numFmtId="0" fontId="28" fillId="3" borderId="0" xfId="0" applyFont="1" applyFill="1" applyAlignment="1">
      <alignment horizontal="left" indent="1"/>
    </xf>
    <xf numFmtId="164" fontId="25" fillId="3" borderId="2" xfId="1" applyNumberFormat="1" applyFont="1" applyFill="1" applyBorder="1" applyAlignment="1">
      <alignment horizontal="right"/>
    </xf>
    <xf numFmtId="0" fontId="0" fillId="3" borderId="0" xfId="0" applyFill="1" applyAlignment="1">
      <alignment horizontal="center"/>
    </xf>
    <xf numFmtId="170" fontId="0" fillId="3" borderId="0" xfId="0" applyNumberFormat="1" applyFill="1"/>
    <xf numFmtId="14" fontId="25" fillId="14" borderId="2" xfId="3" applyNumberFormat="1" applyFont="1" applyFill="1" applyBorder="1" applyAlignment="1">
      <alignment horizontal="center" wrapText="1"/>
    </xf>
    <xf numFmtId="14" fontId="25" fillId="9" borderId="2" xfId="3" applyNumberFormat="1" applyFont="1" applyFill="1" applyBorder="1" applyAlignment="1">
      <alignment horizontal="center" wrapText="1"/>
    </xf>
    <xf numFmtId="164" fontId="25" fillId="7" borderId="0" xfId="1" applyNumberFormat="1" applyFont="1" applyFill="1" applyAlignment="1">
      <alignment horizontal="right"/>
    </xf>
    <xf numFmtId="0" fontId="28" fillId="5" borderId="0" xfId="0" applyFont="1" applyFill="1"/>
    <xf numFmtId="9" fontId="30" fillId="5" borderId="0" xfId="7" applyFont="1" applyFill="1" applyAlignment="1">
      <alignment horizontal="left" indent="1"/>
    </xf>
    <xf numFmtId="10" fontId="30" fillId="6" borderId="0" xfId="2" applyNumberFormat="1" applyFont="1" applyFill="1" applyAlignment="1" applyProtection="1">
      <alignment horizontal="center"/>
      <protection locked="0"/>
    </xf>
    <xf numFmtId="10" fontId="30" fillId="6" borderId="0" xfId="2" applyNumberFormat="1" applyFont="1" applyFill="1" applyAlignment="1">
      <alignment horizontal="center"/>
    </xf>
    <xf numFmtId="164" fontId="25" fillId="3" borderId="0" xfId="1" applyNumberFormat="1" applyFont="1" applyFill="1" applyAlignment="1">
      <alignment horizontal="right"/>
    </xf>
    <xf numFmtId="0" fontId="28" fillId="14" borderId="0" xfId="0" applyFont="1" applyFill="1" applyAlignment="1">
      <alignment horizontal="center"/>
    </xf>
    <xf numFmtId="0" fontId="43" fillId="4" borderId="0" xfId="3" applyFont="1" applyFill="1"/>
    <xf numFmtId="164" fontId="43" fillId="4" borderId="3" xfId="1" applyNumberFormat="1" applyFont="1" applyFill="1" applyBorder="1" applyAlignment="1">
      <alignment horizontal="right"/>
    </xf>
    <xf numFmtId="0" fontId="43" fillId="14" borderId="0" xfId="3" applyFont="1" applyFill="1"/>
    <xf numFmtId="164" fontId="43" fillId="14" borderId="1" xfId="1" applyNumberFormat="1" applyFont="1" applyFill="1" applyBorder="1" applyAlignment="1">
      <alignment horizontal="right"/>
    </xf>
    <xf numFmtId="0" fontId="43" fillId="4" borderId="14" xfId="0" applyFont="1" applyFill="1" applyBorder="1" applyAlignment="1">
      <alignment horizontal="center"/>
    </xf>
    <xf numFmtId="0" fontId="24" fillId="6" borderId="1" xfId="3" applyFont="1" applyFill="1" applyBorder="1" applyAlignment="1" applyProtection="1">
      <alignment horizontal="left"/>
      <protection locked="0"/>
    </xf>
    <xf numFmtId="0" fontId="24" fillId="6" borderId="14" xfId="3" applyFont="1" applyFill="1" applyBorder="1" applyAlignment="1" applyProtection="1">
      <alignment horizontal="left"/>
      <protection locked="0"/>
    </xf>
    <xf numFmtId="0" fontId="0" fillId="0" borderId="0" xfId="0" applyAlignment="1">
      <alignment horizontal="left" vertical="center" indent="1"/>
    </xf>
    <xf numFmtId="0" fontId="0" fillId="2" borderId="23" xfId="0" applyFill="1" applyBorder="1" applyAlignment="1">
      <alignment horizontal="center"/>
    </xf>
    <xf numFmtId="169" fontId="0" fillId="0" borderId="23" xfId="9" applyNumberFormat="1" applyFont="1" applyBorder="1"/>
    <xf numFmtId="14" fontId="5" fillId="7" borderId="9" xfId="3" applyNumberFormat="1" applyFont="1" applyFill="1" applyBorder="1" applyAlignment="1">
      <alignment horizontal="center"/>
    </xf>
    <xf numFmtId="0" fontId="3" fillId="0" borderId="0" xfId="0" applyFont="1" applyAlignment="1">
      <alignment horizontal="left" vertical="center"/>
    </xf>
    <xf numFmtId="0" fontId="2" fillId="0" borderId="9" xfId="0" applyFont="1" applyBorder="1" applyAlignment="1">
      <alignment horizontal="left" vertical="top" wrapText="1"/>
    </xf>
    <xf numFmtId="164" fontId="45" fillId="0" borderId="9" xfId="1" applyNumberFormat="1" applyFont="1" applyBorder="1" applyAlignment="1">
      <alignment horizontal="left" vertical="top" wrapText="1"/>
    </xf>
    <xf numFmtId="164" fontId="45" fillId="0" borderId="9" xfId="1" applyNumberFormat="1" applyFont="1" applyBorder="1" applyAlignment="1">
      <alignment horizontal="right" vertical="top" wrapText="1"/>
    </xf>
    <xf numFmtId="14" fontId="25" fillId="2" borderId="0" xfId="3" applyNumberFormat="1" applyFont="1" applyFill="1" applyAlignment="1">
      <alignment horizontal="center"/>
    </xf>
    <xf numFmtId="43" fontId="0" fillId="0" borderId="9" xfId="1" applyFont="1" applyBorder="1" applyAlignment="1">
      <alignment horizontal="left" indent="1"/>
    </xf>
    <xf numFmtId="0" fontId="41" fillId="0" borderId="0" xfId="3" applyFont="1"/>
    <xf numFmtId="49" fontId="5" fillId="3" borderId="18" xfId="3" applyNumberFormat="1" applyFont="1" applyFill="1" applyBorder="1" applyAlignment="1">
      <alignment horizontal="center"/>
    </xf>
    <xf numFmtId="10" fontId="40" fillId="2" borderId="9" xfId="7" applyNumberFormat="1" applyFont="1" applyFill="1" applyBorder="1" applyAlignment="1">
      <alignment horizontal="center"/>
    </xf>
    <xf numFmtId="0" fontId="40" fillId="2" borderId="9" xfId="3" applyFont="1" applyFill="1" applyBorder="1" applyAlignment="1">
      <alignment horizontal="center"/>
    </xf>
    <xf numFmtId="9" fontId="8" fillId="15" borderId="9" xfId="2" applyFont="1" applyFill="1" applyBorder="1" applyAlignment="1" applyProtection="1">
      <alignment horizontal="center"/>
      <protection locked="0"/>
    </xf>
    <xf numFmtId="171" fontId="5" fillId="3" borderId="0" xfId="4" applyFont="1" applyFill="1" applyAlignment="1">
      <alignment horizontal="center"/>
    </xf>
    <xf numFmtId="164" fontId="1" fillId="3" borderId="0" xfId="1" applyNumberFormat="1" applyFont="1" applyFill="1"/>
    <xf numFmtId="164" fontId="6" fillId="3" borderId="0" xfId="1" applyNumberFormat="1" applyFont="1" applyFill="1" applyAlignment="1">
      <alignment horizontal="right"/>
    </xf>
    <xf numFmtId="164" fontId="5" fillId="3" borderId="0" xfId="1" applyNumberFormat="1" applyFont="1" applyFill="1" applyAlignment="1">
      <alignment horizontal="right"/>
    </xf>
    <xf numFmtId="0" fontId="16" fillId="0" borderId="0" xfId="0" applyFont="1" applyAlignment="1">
      <alignment horizontal="center"/>
    </xf>
    <xf numFmtId="171" fontId="5" fillId="2" borderId="1" xfId="4" applyFont="1" applyFill="1" applyBorder="1" applyAlignment="1">
      <alignment horizontal="center" wrapText="1"/>
    </xf>
    <xf numFmtId="0" fontId="5" fillId="3" borderId="0" xfId="3" applyFont="1" applyFill="1"/>
    <xf numFmtId="171" fontId="5" fillId="2" borderId="9" xfId="4" applyFont="1" applyFill="1" applyBorder="1" applyAlignment="1">
      <alignment horizontal="center" wrapText="1"/>
    </xf>
    <xf numFmtId="0" fontId="3" fillId="0" borderId="0" xfId="0" applyFont="1" applyAlignment="1">
      <alignment horizontal="left"/>
    </xf>
    <xf numFmtId="44" fontId="1" fillId="15" borderId="20" xfId="9" applyFont="1" applyFill="1" applyBorder="1" applyProtection="1">
      <protection locked="0"/>
    </xf>
    <xf numFmtId="44" fontId="6" fillId="3" borderId="2" xfId="9" applyFont="1" applyFill="1" applyBorder="1" applyAlignment="1">
      <alignment horizontal="right"/>
    </xf>
    <xf numFmtId="44" fontId="6" fillId="2" borderId="20" xfId="9" applyFont="1" applyFill="1" applyBorder="1" applyAlignment="1">
      <alignment horizontal="right"/>
    </xf>
    <xf numFmtId="44" fontId="6" fillId="15" borderId="2" xfId="9" applyFont="1" applyFill="1" applyBorder="1" applyAlignment="1" applyProtection="1">
      <alignment horizontal="right"/>
      <protection locked="0"/>
    </xf>
    <xf numFmtId="44" fontId="5" fillId="2" borderId="4" xfId="9" applyFont="1" applyFill="1" applyBorder="1" applyAlignment="1">
      <alignment horizontal="right"/>
    </xf>
    <xf numFmtId="44" fontId="5" fillId="2" borderId="25" xfId="9" applyFont="1" applyFill="1" applyBorder="1" applyAlignment="1">
      <alignment horizontal="right"/>
    </xf>
    <xf numFmtId="44" fontId="6" fillId="3" borderId="19" xfId="9" applyFont="1" applyFill="1" applyBorder="1" applyAlignment="1">
      <alignment horizontal="right"/>
    </xf>
    <xf numFmtId="44" fontId="6" fillId="2" borderId="23" xfId="9" applyFont="1" applyFill="1" applyBorder="1" applyAlignment="1">
      <alignment horizontal="right"/>
    </xf>
    <xf numFmtId="44" fontId="5" fillId="2" borderId="3" xfId="9" applyFont="1" applyFill="1" applyBorder="1" applyAlignment="1">
      <alignment horizontal="right"/>
    </xf>
    <xf numFmtId="44" fontId="5" fillId="2" borderId="24" xfId="9" applyFont="1" applyFill="1" applyBorder="1" applyAlignment="1">
      <alignment horizontal="right"/>
    </xf>
    <xf numFmtId="44" fontId="6" fillId="2" borderId="2" xfId="9" applyFont="1" applyFill="1" applyBorder="1" applyAlignment="1">
      <alignment horizontal="right"/>
    </xf>
    <xf numFmtId="44" fontId="1" fillId="3" borderId="20" xfId="9" applyFont="1" applyFill="1" applyBorder="1"/>
    <xf numFmtId="44" fontId="6" fillId="2" borderId="1" xfId="9" applyFont="1" applyFill="1" applyBorder="1" applyAlignment="1">
      <alignment horizontal="right"/>
    </xf>
    <xf numFmtId="0" fontId="1" fillId="0" borderId="0" xfId="0" applyFont="1"/>
    <xf numFmtId="0" fontId="1" fillId="5" borderId="9" xfId="0" applyFont="1" applyFill="1" applyBorder="1" applyAlignment="1" applyProtection="1">
      <alignment horizontal="center" vertical="center"/>
      <protection locked="0"/>
    </xf>
    <xf numFmtId="0" fontId="1" fillId="3" borderId="9" xfId="0" applyFont="1" applyFill="1" applyBorder="1"/>
    <xf numFmtId="0" fontId="1" fillId="0" borderId="9" xfId="0" applyFont="1" applyBorder="1" applyAlignment="1" applyProtection="1">
      <alignment horizontal="center" vertical="center"/>
      <protection locked="0"/>
    </xf>
    <xf numFmtId="0" fontId="13" fillId="0" borderId="0" xfId="8" applyAlignment="1">
      <alignment horizontal="center"/>
    </xf>
    <xf numFmtId="0" fontId="41" fillId="0" borderId="0" xfId="3" applyFont="1" applyAlignment="1">
      <alignment horizontal="center"/>
    </xf>
    <xf numFmtId="0" fontId="16" fillId="16" borderId="9" xfId="0" applyFont="1" applyFill="1" applyBorder="1" applyAlignment="1">
      <alignment horizontal="center"/>
    </xf>
    <xf numFmtId="0" fontId="24" fillId="16" borderId="9" xfId="3" applyFont="1" applyFill="1" applyBorder="1" applyAlignment="1" applyProtection="1">
      <alignment horizontal="center"/>
      <protection locked="0"/>
    </xf>
    <xf numFmtId="14" fontId="25" fillId="16" borderId="9" xfId="3" applyNumberFormat="1" applyFont="1" applyFill="1" applyBorder="1" applyAlignment="1">
      <alignment horizontal="center"/>
    </xf>
    <xf numFmtId="166" fontId="6" fillId="16" borderId="2" xfId="5" applyNumberFormat="1" applyFont="1" applyFill="1" applyBorder="1" applyAlignment="1" applyProtection="1">
      <alignment horizontal="center"/>
      <protection locked="0"/>
    </xf>
    <xf numFmtId="0" fontId="27" fillId="16" borderId="0" xfId="3" applyFont="1" applyFill="1" applyAlignment="1">
      <alignment horizontal="left" indent="1"/>
    </xf>
    <xf numFmtId="0" fontId="25" fillId="0" borderId="0" xfId="3" applyFont="1" applyAlignment="1">
      <alignment horizontal="center"/>
    </xf>
    <xf numFmtId="0" fontId="19" fillId="18" borderId="0" xfId="0" applyFont="1" applyFill="1"/>
    <xf numFmtId="0" fontId="9" fillId="18" borderId="0" xfId="0" applyFont="1" applyFill="1" applyAlignment="1">
      <alignment horizontal="center"/>
    </xf>
    <xf numFmtId="0" fontId="48" fillId="18" borderId="0" xfId="8" applyFont="1" applyFill="1"/>
    <xf numFmtId="0" fontId="0" fillId="18" borderId="0" xfId="0" applyFill="1"/>
    <xf numFmtId="0" fontId="36" fillId="18" borderId="0" xfId="8" applyFont="1" applyFill="1" applyAlignment="1" applyProtection="1">
      <alignment horizontal="center"/>
      <protection locked="0"/>
    </xf>
    <xf numFmtId="165" fontId="33" fillId="3" borderId="0" xfId="2" applyNumberFormat="1" applyFont="1" applyFill="1" applyAlignment="1">
      <alignment horizontal="center"/>
    </xf>
    <xf numFmtId="165" fontId="33" fillId="3" borderId="26" xfId="2" applyNumberFormat="1" applyFont="1" applyFill="1" applyBorder="1" applyAlignment="1">
      <alignment horizontal="center"/>
    </xf>
    <xf numFmtId="0" fontId="47" fillId="17" borderId="0" xfId="0" applyFont="1" applyFill="1" applyAlignment="1">
      <alignment horizontal="left" indent="1"/>
    </xf>
    <xf numFmtId="164" fontId="47" fillId="17" borderId="2" xfId="1" applyNumberFormat="1" applyFont="1" applyFill="1" applyBorder="1" applyAlignment="1">
      <alignment horizontal="right"/>
    </xf>
    <xf numFmtId="164" fontId="43" fillId="17" borderId="2" xfId="1" applyNumberFormat="1" applyFont="1" applyFill="1" applyBorder="1" applyAlignment="1">
      <alignment horizontal="right"/>
    </xf>
    <xf numFmtId="164" fontId="35" fillId="0" borderId="0" xfId="8" applyNumberFormat="1" applyFont="1" applyAlignment="1">
      <alignment horizontal="center"/>
    </xf>
    <xf numFmtId="0" fontId="0" fillId="6" borderId="9" xfId="0" applyFill="1" applyBorder="1" applyAlignment="1" applyProtection="1">
      <alignment wrapText="1"/>
      <protection locked="0"/>
    </xf>
    <xf numFmtId="0" fontId="50" fillId="0" borderId="0" xfId="0" applyFont="1" applyAlignment="1">
      <alignment horizontal="center"/>
    </xf>
    <xf numFmtId="0" fontId="50" fillId="0" borderId="0" xfId="0" applyFont="1"/>
    <xf numFmtId="165" fontId="33" fillId="3" borderId="27" xfId="2" applyNumberFormat="1" applyFont="1" applyFill="1" applyBorder="1" applyAlignment="1">
      <alignment horizontal="center"/>
    </xf>
    <xf numFmtId="0" fontId="0" fillId="6" borderId="9" xfId="0" applyFill="1" applyBorder="1" applyAlignment="1" applyProtection="1">
      <alignment horizontal="left" wrapText="1"/>
      <protection locked="0"/>
    </xf>
    <xf numFmtId="0" fontId="0" fillId="0" borderId="0" xfId="0" applyAlignment="1">
      <alignment wrapText="1"/>
    </xf>
    <xf numFmtId="0" fontId="0" fillId="6" borderId="9" xfId="0" applyFill="1" applyBorder="1" applyAlignment="1" applyProtection="1">
      <alignment horizontal="center"/>
      <protection locked="0"/>
    </xf>
    <xf numFmtId="14" fontId="51" fillId="3" borderId="0" xfId="2" applyNumberFormat="1" applyFont="1" applyFill="1" applyAlignment="1">
      <alignment horizontal="center"/>
    </xf>
    <xf numFmtId="44" fontId="0" fillId="0" borderId="0" xfId="0" applyNumberFormat="1"/>
    <xf numFmtId="164" fontId="52" fillId="0" borderId="9" xfId="1" applyNumberFormat="1" applyFont="1" applyBorder="1" applyAlignment="1">
      <alignment horizontal="right" vertical="top" wrapText="1"/>
    </xf>
    <xf numFmtId="164" fontId="19" fillId="0" borderId="9" xfId="1" applyNumberFormat="1" applyFont="1" applyBorder="1"/>
    <xf numFmtId="169" fontId="0" fillId="0" borderId="9" xfId="9" applyNumberFormat="1" applyFont="1" applyBorder="1" applyAlignment="1">
      <alignment vertical="center" wrapText="1"/>
    </xf>
    <xf numFmtId="169" fontId="19" fillId="12" borderId="9" xfId="9" applyNumberFormat="1" applyFont="1" applyFill="1" applyBorder="1" applyAlignment="1" applyProtection="1">
      <alignment horizontal="left" vertical="center"/>
      <protection locked="0"/>
    </xf>
    <xf numFmtId="0" fontId="7" fillId="12" borderId="9" xfId="0" applyFont="1" applyFill="1" applyBorder="1" applyAlignment="1" applyProtection="1">
      <alignment horizontal="left" vertical="center"/>
      <protection locked="0"/>
    </xf>
    <xf numFmtId="0" fontId="3" fillId="2" borderId="9" xfId="0" applyFont="1" applyFill="1" applyBorder="1" applyAlignment="1">
      <alignment vertical="center"/>
    </xf>
    <xf numFmtId="0" fontId="3" fillId="2" borderId="9" xfId="0" applyFont="1" applyFill="1" applyBorder="1" applyAlignment="1">
      <alignment horizontal="center" vertical="center" wrapText="1"/>
    </xf>
    <xf numFmtId="169" fontId="11" fillId="2" borderId="9" xfId="9" applyNumberFormat="1" applyFont="1" applyFill="1" applyBorder="1" applyAlignment="1">
      <alignment horizontal="center" wrapText="1"/>
    </xf>
    <xf numFmtId="164" fontId="0" fillId="3" borderId="9" xfId="1" applyNumberFormat="1" applyFont="1" applyFill="1" applyBorder="1"/>
    <xf numFmtId="0" fontId="0" fillId="3" borderId="9" xfId="0" applyFill="1" applyBorder="1" applyAlignment="1">
      <alignment wrapText="1"/>
    </xf>
    <xf numFmtId="0" fontId="2" fillId="0" borderId="0" xfId="0" applyFont="1" applyAlignment="1">
      <alignment horizontal="left" vertical="top" wrapText="1"/>
    </xf>
    <xf numFmtId="164" fontId="19" fillId="0" borderId="0" xfId="1" applyNumberFormat="1" applyFont="1"/>
    <xf numFmtId="0" fontId="0" fillId="0" borderId="0" xfId="0" applyAlignment="1">
      <alignment horizontal="left" vertical="top" wrapText="1"/>
    </xf>
    <xf numFmtId="164" fontId="2" fillId="0" borderId="0" xfId="1" applyNumberFormat="1"/>
    <xf numFmtId="0" fontId="3" fillId="0" borderId="0" xfId="0" applyFont="1" applyAlignment="1">
      <alignment horizontal="left" vertical="top" wrapText="1"/>
    </xf>
    <xf numFmtId="0" fontId="46" fillId="0" borderId="0" xfId="0" applyFont="1" applyAlignment="1">
      <alignment horizontal="left" vertical="top" wrapText="1"/>
    </xf>
    <xf numFmtId="164" fontId="46" fillId="0" borderId="0" xfId="1" applyNumberFormat="1" applyFont="1"/>
    <xf numFmtId="164" fontId="45" fillId="0" borderId="0" xfId="1" applyNumberFormat="1" applyFont="1" applyAlignment="1">
      <alignment horizontal="left" vertical="top" wrapText="1"/>
    </xf>
    <xf numFmtId="164" fontId="45" fillId="0" borderId="0" xfId="1" applyNumberFormat="1" applyFont="1" applyAlignment="1">
      <alignment horizontal="right" vertical="top" wrapText="1"/>
    </xf>
    <xf numFmtId="169" fontId="19" fillId="2" borderId="9" xfId="9" applyNumberFormat="1" applyFont="1" applyFill="1" applyBorder="1" applyAlignment="1" applyProtection="1">
      <alignment horizontal="left" vertical="center"/>
      <protection hidden="1"/>
    </xf>
    <xf numFmtId="164" fontId="0" fillId="12" borderId="9" xfId="1" applyNumberFormat="1" applyFont="1" applyFill="1" applyBorder="1" applyAlignment="1" applyProtection="1">
      <alignment horizontal="center"/>
      <protection locked="0"/>
    </xf>
    <xf numFmtId="43" fontId="11" fillId="12" borderId="9" xfId="1" applyFont="1" applyFill="1" applyBorder="1" applyAlignment="1">
      <alignment horizontal="center" wrapText="1"/>
    </xf>
    <xf numFmtId="14" fontId="5" fillId="2" borderId="23" xfId="3" applyNumberFormat="1" applyFont="1" applyFill="1" applyBorder="1" applyAlignment="1">
      <alignment horizontal="center" vertical="center" wrapText="1"/>
    </xf>
    <xf numFmtId="0" fontId="54" fillId="0" borderId="0" xfId="0" applyFont="1"/>
    <xf numFmtId="0" fontId="53" fillId="0" borderId="0" xfId="0" applyFont="1" applyAlignment="1">
      <alignment horizontal="left"/>
    </xf>
    <xf numFmtId="0" fontId="53" fillId="20" borderId="9" xfId="0" applyFont="1" applyFill="1" applyBorder="1"/>
    <xf numFmtId="0" fontId="53" fillId="20" borderId="9" xfId="0" applyFont="1" applyFill="1" applyBorder="1" applyAlignment="1">
      <alignment wrapText="1"/>
    </xf>
    <xf numFmtId="0" fontId="53" fillId="0" borderId="0" xfId="0" applyFont="1"/>
    <xf numFmtId="165" fontId="26" fillId="2" borderId="0" xfId="7" applyNumberFormat="1" applyFont="1" applyFill="1" applyAlignment="1">
      <alignment horizontal="left"/>
    </xf>
    <xf numFmtId="43" fontId="0" fillId="6" borderId="9" xfId="1" applyFont="1" applyFill="1" applyBorder="1" applyAlignment="1" applyProtection="1">
      <alignment horizontal="left" indent="1"/>
      <protection locked="0"/>
    </xf>
    <xf numFmtId="0" fontId="0" fillId="0" borderId="9" xfId="0" applyBorder="1" applyAlignment="1">
      <alignment wrapText="1"/>
    </xf>
    <xf numFmtId="0" fontId="3" fillId="3" borderId="9" xfId="0" applyFont="1" applyFill="1" applyBorder="1"/>
    <xf numFmtId="0" fontId="3" fillId="3" borderId="9" xfId="0" applyFont="1" applyFill="1" applyBorder="1" applyAlignment="1">
      <alignment horizontal="center"/>
    </xf>
    <xf numFmtId="10" fontId="0" fillId="0" borderId="9" xfId="0" applyNumberFormat="1" applyBorder="1"/>
    <xf numFmtId="0" fontId="24" fillId="6" borderId="9" xfId="3" applyFont="1" applyFill="1" applyBorder="1" applyAlignment="1" applyProtection="1">
      <alignment horizontal="left" wrapText="1" indent="1"/>
      <protection locked="0"/>
    </xf>
    <xf numFmtId="0" fontId="0" fillId="0" borderId="14" xfId="0" applyBorder="1" applyProtection="1">
      <protection locked="0"/>
    </xf>
    <xf numFmtId="0" fontId="0" fillId="0" borderId="15" xfId="0" applyBorder="1" applyProtection="1">
      <protection locked="0"/>
    </xf>
    <xf numFmtId="0" fontId="24" fillId="6" borderId="9" xfId="3" applyFont="1" applyFill="1" applyBorder="1" applyAlignment="1" applyProtection="1">
      <alignment horizontal="left" indent="1"/>
      <protection locked="0"/>
    </xf>
    <xf numFmtId="0" fontId="24" fillId="6" borderId="9" xfId="3" applyFont="1" applyFill="1" applyBorder="1" applyAlignment="1" applyProtection="1">
      <alignment horizontal="left"/>
      <protection locked="0"/>
    </xf>
    <xf numFmtId="0" fontId="24" fillId="6" borderId="1" xfId="3" applyFont="1" applyFill="1" applyBorder="1" applyAlignment="1" applyProtection="1">
      <alignment horizontal="left" vertical="center" wrapText="1" indent="1"/>
      <protection locked="0"/>
    </xf>
    <xf numFmtId="0" fontId="42" fillId="2" borderId="18" xfId="0" applyFont="1" applyFill="1" applyBorder="1" applyAlignment="1">
      <alignment horizontal="center" vertical="center"/>
    </xf>
    <xf numFmtId="0" fontId="0" fillId="0" borderId="18" xfId="0" applyBorder="1"/>
    <xf numFmtId="0" fontId="16" fillId="0" borderId="0" xfId="0" applyFont="1" applyAlignment="1">
      <alignment horizontal="center"/>
    </xf>
    <xf numFmtId="0" fontId="0" fillId="0" borderId="0" xfId="0"/>
    <xf numFmtId="0" fontId="24" fillId="3" borderId="9" xfId="3" applyFont="1" applyFill="1" applyBorder="1" applyAlignment="1">
      <alignment horizontal="left" vertical="center" wrapText="1" indent="1"/>
    </xf>
    <xf numFmtId="0" fontId="0" fillId="0" borderId="14" xfId="0" applyBorder="1"/>
    <xf numFmtId="0" fontId="0" fillId="0" borderId="15" xfId="0" applyBorder="1"/>
    <xf numFmtId="0" fontId="24" fillId="3" borderId="9" xfId="3" applyFont="1" applyFill="1" applyBorder="1" applyAlignment="1">
      <alignment horizontal="left" indent="1"/>
    </xf>
    <xf numFmtId="0" fontId="24" fillId="3" borderId="9" xfId="3" applyFont="1" applyFill="1" applyBorder="1" applyAlignment="1">
      <alignment horizontal="left" wrapText="1" indent="1"/>
    </xf>
    <xf numFmtId="0" fontId="44" fillId="16" borderId="18" xfId="0" applyFont="1" applyFill="1" applyBorder="1" applyAlignment="1">
      <alignment horizontal="center" vertical="center"/>
    </xf>
    <xf numFmtId="0" fontId="3" fillId="0" borderId="30" xfId="0" applyFont="1" applyBorder="1" applyAlignment="1">
      <alignment horizontal="center"/>
    </xf>
    <xf numFmtId="0" fontId="0" fillId="0" borderId="28" xfId="0" applyBorder="1"/>
    <xf numFmtId="0" fontId="0" fillId="0" borderId="29" xfId="0" applyBorder="1"/>
    <xf numFmtId="0" fontId="10" fillId="4" borderId="1" xfId="0" applyFont="1" applyFill="1" applyBorder="1" applyAlignment="1">
      <alignment horizontal="center"/>
    </xf>
    <xf numFmtId="0" fontId="26" fillId="18" borderId="0" xfId="0" applyFont="1" applyFill="1" applyAlignment="1">
      <alignment horizontal="center"/>
    </xf>
    <xf numFmtId="14" fontId="17" fillId="4" borderId="2" xfId="3" applyNumberFormat="1" applyFont="1" applyFill="1" applyBorder="1" applyAlignment="1">
      <alignment horizontal="center"/>
    </xf>
    <xf numFmtId="0" fontId="18" fillId="7" borderId="0" xfId="0" applyFont="1" applyFill="1" applyAlignment="1">
      <alignment horizontal="center"/>
    </xf>
    <xf numFmtId="0" fontId="17" fillId="4" borderId="0" xfId="0" applyFont="1" applyFill="1" applyAlignment="1">
      <alignment horizontal="center"/>
    </xf>
    <xf numFmtId="0" fontId="18" fillId="18" borderId="0" xfId="0" applyFont="1" applyFill="1" applyAlignment="1">
      <alignment horizontal="center"/>
    </xf>
    <xf numFmtId="0" fontId="37" fillId="7" borderId="0" xfId="0" applyFont="1" applyFill="1" applyAlignment="1">
      <alignment horizontal="center"/>
    </xf>
    <xf numFmtId="0" fontId="16" fillId="18" borderId="0" xfId="0" applyFont="1" applyFill="1" applyAlignment="1">
      <alignment horizontal="center"/>
    </xf>
    <xf numFmtId="0" fontId="17" fillId="4" borderId="18" xfId="0" applyFont="1" applyFill="1" applyBorder="1" applyAlignment="1">
      <alignment horizontal="center"/>
    </xf>
    <xf numFmtId="14" fontId="17" fillId="4" borderId="15" xfId="3" applyNumberFormat="1" applyFont="1" applyFill="1" applyBorder="1" applyAlignment="1">
      <alignment horizontal="center"/>
    </xf>
    <xf numFmtId="0" fontId="18" fillId="0" borderId="0" xfId="0" applyFont="1" applyAlignment="1">
      <alignment horizontal="center"/>
    </xf>
    <xf numFmtId="0" fontId="0" fillId="0" borderId="14" xfId="0" applyBorder="1" applyAlignment="1">
      <alignment horizontal="center"/>
    </xf>
    <xf numFmtId="0" fontId="53" fillId="0" borderId="0" xfId="0" applyFont="1" applyAlignment="1">
      <alignment horizontal="left"/>
    </xf>
    <xf numFmtId="0" fontId="54" fillId="0" borderId="0" xfId="0" applyFont="1"/>
    <xf numFmtId="0" fontId="54" fillId="0" borderId="9" xfId="0" applyFont="1" applyBorder="1" applyAlignment="1">
      <alignment horizontal="center"/>
    </xf>
    <xf numFmtId="172" fontId="54" fillId="0" borderId="9" xfId="0" applyNumberFormat="1" applyFont="1" applyBorder="1" applyAlignment="1">
      <alignment horizontal="right"/>
    </xf>
    <xf numFmtId="0" fontId="53" fillId="0" borderId="0" xfId="0" applyFont="1" applyAlignment="1">
      <alignment horizontal="center"/>
    </xf>
    <xf numFmtId="0" fontId="53" fillId="20" borderId="9" xfId="0" applyFont="1" applyFill="1" applyBorder="1" applyAlignment="1">
      <alignment horizontal="center"/>
    </xf>
    <xf numFmtId="0" fontId="54" fillId="0" borderId="9" xfId="0" applyFont="1" applyBorder="1" applyAlignment="1">
      <alignment horizontal="left"/>
    </xf>
    <xf numFmtId="0" fontId="54" fillId="0" borderId="0" xfId="0" applyFont="1" applyAlignment="1">
      <alignment horizontal="left"/>
    </xf>
    <xf numFmtId="0" fontId="53" fillId="0" borderId="17" xfId="0" applyFont="1" applyBorder="1" applyAlignment="1">
      <alignment horizontal="left"/>
    </xf>
    <xf numFmtId="0" fontId="0" fillId="0" borderId="17" xfId="0" applyBorder="1"/>
    <xf numFmtId="0" fontId="53" fillId="0" borderId="9" xfId="0" applyFont="1" applyBorder="1" applyAlignment="1">
      <alignment horizontal="left"/>
    </xf>
    <xf numFmtId="0" fontId="53" fillId="20" borderId="9" xfId="0" applyFont="1" applyFill="1" applyBorder="1" applyAlignment="1">
      <alignment horizontal="left"/>
    </xf>
    <xf numFmtId="173" fontId="53" fillId="0" borderId="9" xfId="0" applyNumberFormat="1" applyFont="1" applyBorder="1" applyAlignment="1">
      <alignment horizontal="right"/>
    </xf>
    <xf numFmtId="0" fontId="54" fillId="0" borderId="0" xfId="0" applyFont="1" applyAlignment="1">
      <alignment horizontal="center"/>
    </xf>
    <xf numFmtId="0" fontId="53" fillId="20" borderId="9" xfId="0" applyFont="1" applyFill="1" applyBorder="1" applyAlignment="1">
      <alignment horizontal="left" wrapText="1"/>
    </xf>
    <xf numFmtId="0" fontId="40" fillId="0" borderId="0" xfId="0" applyFont="1" applyAlignment="1">
      <alignment horizontal="center"/>
    </xf>
    <xf numFmtId="0" fontId="13" fillId="0" borderId="0" xfId="8" applyAlignment="1">
      <alignment horizontal="center"/>
    </xf>
    <xf numFmtId="0" fontId="38" fillId="0" borderId="0" xfId="0" applyFont="1" applyAlignment="1">
      <alignment horizontal="center"/>
    </xf>
    <xf numFmtId="0" fontId="41" fillId="0" borderId="0" xfId="3" applyFont="1" applyAlignment="1">
      <alignment horizontal="center"/>
    </xf>
    <xf numFmtId="0" fontId="3" fillId="0" borderId="31" xfId="0" applyFont="1" applyBorder="1" applyAlignment="1">
      <alignment horizontal="center"/>
    </xf>
    <xf numFmtId="0" fontId="0" fillId="0" borderId="32" xfId="0" applyBorder="1"/>
    <xf numFmtId="0" fontId="3" fillId="6" borderId="0" xfId="0" applyFont="1" applyFill="1" applyAlignment="1">
      <alignment horizontal="center"/>
    </xf>
    <xf numFmtId="0" fontId="49" fillId="19" borderId="18" xfId="0" applyFont="1" applyFill="1" applyBorder="1" applyAlignment="1">
      <alignment horizontal="center" vertical="center"/>
    </xf>
  </cellXfs>
  <cellStyles count="17">
    <cellStyle name="Comma" xfId="1" builtinId="3"/>
    <cellStyle name="Comma 2" xfId="5" xr:uid="{00000000-0005-0000-0000-000005000000}"/>
    <cellStyle name="Comma 3" xfId="11" xr:uid="{00000000-0005-0000-0000-00000B000000}"/>
    <cellStyle name="Currency" xfId="9" builtinId="4"/>
    <cellStyle name="Currency 2" xfId="6" xr:uid="{00000000-0005-0000-0000-000006000000}"/>
    <cellStyle name="Currency 3" xfId="13" xr:uid="{00000000-0005-0000-0000-00000D000000}"/>
    <cellStyle name="Hyperlink" xfId="8" builtinId="8"/>
    <cellStyle name="Hyperlink 2" xfId="14" xr:uid="{00000000-0005-0000-0000-00000E000000}"/>
    <cellStyle name="MonthDate" xfId="4" xr:uid="{00000000-0005-0000-0000-000004000000}"/>
    <cellStyle name="Normal" xfId="0" builtinId="0"/>
    <cellStyle name="Normal 2" xfId="3" xr:uid="{00000000-0005-0000-0000-000003000000}"/>
    <cellStyle name="Normal 2 2" xfId="15" xr:uid="{00000000-0005-0000-0000-00000F000000}"/>
    <cellStyle name="Normal 3" xfId="16" xr:uid="{00000000-0005-0000-0000-000010000000}"/>
    <cellStyle name="Normal 4" xfId="10" xr:uid="{00000000-0005-0000-0000-00000A000000}"/>
    <cellStyle name="Percent" xfId="2" builtinId="5"/>
    <cellStyle name="Percent 2" xfId="7" xr:uid="{00000000-0005-0000-0000-000007000000}"/>
    <cellStyle name="Percent 3" xfId="1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69850</xdr:colOff>
      <xdr:row>0</xdr:row>
      <xdr:rowOff>63500</xdr:rowOff>
    </xdr:from>
    <xdr:to>
      <xdr:col>0</xdr:col>
      <xdr:colOff>3054350</xdr:colOff>
      <xdr:row>0</xdr:row>
      <xdr:rowOff>763735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69850" y="63500"/>
          <a:ext cx="2984500" cy="700235"/>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17</xdr:row>
      <xdr:rowOff>0</xdr:rowOff>
    </xdr:from>
    <xdr:to>
      <xdr:col>16</xdr:col>
      <xdr:colOff>457715</xdr:colOff>
      <xdr:row>59</xdr:row>
      <xdr:rowOff>12859</xdr:rowOff>
    </xdr:to>
    <xdr:pic>
      <xdr:nvPicPr>
        <xdr:cNvPr id="4" name="Picture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1"/>
        <a:stretch>
          <a:fillRect/>
        </a:stretch>
      </xdr:blipFill>
      <xdr:spPr>
        <a:xfrm>
          <a:off x="7559040" y="228600"/>
          <a:ext cx="5944115" cy="7693819"/>
        </a:xfrm>
        <a:prstGeom prst="rect">
          <a:avLst/>
        </a:prstGeom>
        <a:ln>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387927</xdr:colOff>
      <xdr:row>0</xdr:row>
      <xdr:rowOff>48791</xdr:rowOff>
    </xdr:from>
    <xdr:to>
      <xdr:col>0</xdr:col>
      <xdr:colOff>3207327</xdr:colOff>
      <xdr:row>0</xdr:row>
      <xdr:rowOff>710289</xdr:rowOff>
    </xdr:to>
    <xdr:pic>
      <xdr:nvPicPr>
        <xdr:cNvPr id="4" name="Picture 3">
          <a:extLst>
            <a:ext uri="{FF2B5EF4-FFF2-40B4-BE49-F238E27FC236}">
              <a16:creationId xmlns:a16="http://schemas.microsoft.com/office/drawing/2014/main" id="{00000000-0008-0000-1500-000004000000}"/>
            </a:ext>
          </a:extLst>
        </xdr:cNvPr>
        <xdr:cNvPicPr>
          <a:picLocks noChangeAspect="1"/>
        </xdr:cNvPicPr>
      </xdr:nvPicPr>
      <xdr:blipFill>
        <a:blip xmlns:r="http://schemas.openxmlformats.org/officeDocument/2006/relationships" r:embed="rId1"/>
        <a:stretch>
          <a:fillRect/>
        </a:stretch>
      </xdr:blipFill>
      <xdr:spPr>
        <a:xfrm>
          <a:off x="387927" y="48791"/>
          <a:ext cx="2819400" cy="661498"/>
        </a:xfrm>
        <a:prstGeom prst="rect">
          <a:avLst/>
        </a:prstGeom>
        <a:ln>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ponsoredprograms.virginia.edu/rates" TargetMode="Externa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hyperlink" Target="https://www.osbm.nc.gov/budget/budget-manual" TargetMode="External"/><Relationship Id="rId1" Type="http://schemas.openxmlformats.org/officeDocument/2006/relationships/hyperlink" Target="https://www.nccu.edu/policies/retrieve/66" TargetMode="External"/><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hyperlink" Target="https://sponsoredprograms.virginia.edu/rates" TargetMode="Externa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20.xml.rels><?xml version="1.0" encoding="UTF-8" standalone="yes"?>
<Relationships xmlns="http://schemas.openxmlformats.org/package/2006/relationships"><Relationship Id="rId1" Type="http://schemas.openxmlformats.org/officeDocument/2006/relationships/hyperlink" Target="https://www.rwjf.org/content/granteeresources/legal-and-policy/Indirect_Cost_Rate.html" TargetMode="Externa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hyperlink" Target="https://sponsoredprograms.virginia.edu/rates" TargetMode="External"/><Relationship Id="rId4" Type="http://schemas.openxmlformats.org/officeDocument/2006/relationships/comments" Target="../comments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8"/>
  <sheetViews>
    <sheetView tabSelected="1" zoomScale="99" zoomScaleNormal="99" workbookViewId="0">
      <pane ySplit="9" topLeftCell="A24" activePane="bottomLeft" state="frozen"/>
      <selection pane="bottomLeft" activeCell="B2" sqref="B2:G2"/>
    </sheetView>
  </sheetViews>
  <sheetFormatPr defaultColWidth="9.109375" defaultRowHeight="14.4" x14ac:dyDescent="0.3"/>
  <cols>
    <col min="1" max="1" width="52.6640625" bestFit="1" customWidth="1"/>
    <col min="2" max="2" width="16" bestFit="1" customWidth="1"/>
    <col min="3" max="4" width="15.44140625" customWidth="1"/>
    <col min="5" max="5" width="16.109375" bestFit="1" customWidth="1"/>
    <col min="6" max="6" width="15.44140625" customWidth="1"/>
    <col min="7" max="7" width="16.6640625" bestFit="1" customWidth="1"/>
    <col min="8" max="8" width="18.44140625" bestFit="1" customWidth="1"/>
  </cols>
  <sheetData>
    <row r="1" spans="1:7" ht="64.95" customHeight="1" x14ac:dyDescent="0.3">
      <c r="B1" s="394" t="s">
        <v>35</v>
      </c>
      <c r="C1" s="395"/>
      <c r="D1" s="395"/>
      <c r="E1" s="395"/>
      <c r="F1" s="395"/>
      <c r="G1" s="395"/>
    </row>
    <row r="2" spans="1:7" ht="18" customHeight="1" x14ac:dyDescent="0.35">
      <c r="A2" s="65" t="s">
        <v>36</v>
      </c>
      <c r="B2" s="391"/>
      <c r="C2" s="389"/>
      <c r="D2" s="389"/>
      <c r="E2" s="389"/>
      <c r="F2" s="389"/>
      <c r="G2" s="390"/>
    </row>
    <row r="3" spans="1:7" ht="32.25" customHeight="1" x14ac:dyDescent="0.35">
      <c r="A3" s="66" t="s">
        <v>37</v>
      </c>
      <c r="B3" s="388"/>
      <c r="C3" s="389"/>
      <c r="D3" s="389"/>
      <c r="E3" s="389"/>
      <c r="F3" s="389"/>
      <c r="G3" s="390"/>
    </row>
    <row r="4" spans="1:7" ht="18.75" customHeight="1" x14ac:dyDescent="0.3">
      <c r="A4" s="66" t="s">
        <v>38</v>
      </c>
      <c r="B4" s="393"/>
      <c r="C4" s="389"/>
      <c r="D4" s="389"/>
      <c r="E4" s="389"/>
      <c r="F4" s="389"/>
      <c r="G4" s="389"/>
    </row>
    <row r="5" spans="1:7" ht="18.75" customHeight="1" x14ac:dyDescent="0.3">
      <c r="A5" s="66" t="s">
        <v>39</v>
      </c>
      <c r="B5" s="393"/>
      <c r="C5" s="389"/>
      <c r="D5" s="389"/>
      <c r="E5" s="389"/>
      <c r="F5" s="389"/>
      <c r="G5" s="389"/>
    </row>
    <row r="6" spans="1:7" ht="18" customHeight="1" x14ac:dyDescent="0.35">
      <c r="A6" s="67" t="s">
        <v>40</v>
      </c>
      <c r="B6" s="68" t="s">
        <v>41</v>
      </c>
      <c r="C6" s="133"/>
      <c r="D6" s="68" t="s">
        <v>42</v>
      </c>
      <c r="E6" s="133"/>
      <c r="F6" s="69"/>
      <c r="G6" s="69"/>
    </row>
    <row r="7" spans="1:7" ht="18" customHeight="1" x14ac:dyDescent="0.35">
      <c r="A7" s="333"/>
      <c r="B7" s="304" t="s">
        <v>43</v>
      </c>
      <c r="C7" s="392"/>
      <c r="D7" s="390"/>
    </row>
    <row r="8" spans="1:7" ht="18" customHeight="1" x14ac:dyDescent="0.35">
      <c r="A8" s="67"/>
      <c r="B8" s="2"/>
    </row>
    <row r="9" spans="1:7" ht="18" customHeight="1" x14ac:dyDescent="0.35">
      <c r="A9" s="70" t="s">
        <v>44</v>
      </c>
      <c r="B9" s="71" t="s">
        <v>45</v>
      </c>
      <c r="C9" s="71" t="s">
        <v>46</v>
      </c>
      <c r="D9" s="71" t="s">
        <v>47</v>
      </c>
      <c r="E9" s="71" t="s">
        <v>48</v>
      </c>
      <c r="F9" s="71" t="s">
        <v>49</v>
      </c>
      <c r="G9" s="71" t="s">
        <v>50</v>
      </c>
    </row>
    <row r="10" spans="1:7" ht="18" customHeight="1" x14ac:dyDescent="0.35">
      <c r="A10" s="112" t="s">
        <v>41</v>
      </c>
      <c r="B10" s="114">
        <f>C6</f>
        <v>0</v>
      </c>
      <c r="C10" s="114">
        <f>EDATE(B10,12)</f>
        <v>366</v>
      </c>
      <c r="D10" s="114">
        <f>EDATE(C10,12)</f>
        <v>731</v>
      </c>
      <c r="E10" s="114">
        <f>EDATE(D10,12)</f>
        <v>1096</v>
      </c>
      <c r="F10" s="114">
        <f>EDATE(E10,12)</f>
        <v>1461</v>
      </c>
      <c r="G10" s="74"/>
    </row>
    <row r="11" spans="1:7" ht="18" customHeight="1" x14ac:dyDescent="0.35">
      <c r="A11" s="112" t="s">
        <v>42</v>
      </c>
      <c r="B11" s="114">
        <f>C10-1</f>
        <v>365</v>
      </c>
      <c r="C11" s="114">
        <f>D10-1</f>
        <v>730</v>
      </c>
      <c r="D11" s="114">
        <f>E10-1</f>
        <v>1095</v>
      </c>
      <c r="E11" s="114">
        <f>F10-1</f>
        <v>1460</v>
      </c>
      <c r="F11" s="114">
        <f>EDATE(F10,12)-1</f>
        <v>1826</v>
      </c>
      <c r="G11" s="73"/>
    </row>
    <row r="12" spans="1:7" ht="18" customHeight="1" x14ac:dyDescent="0.35">
      <c r="A12" s="72" t="s">
        <v>51</v>
      </c>
      <c r="B12" s="75"/>
      <c r="C12" s="75"/>
      <c r="D12" s="75"/>
      <c r="E12" s="75"/>
      <c r="F12" s="75"/>
      <c r="G12" s="73"/>
    </row>
    <row r="13" spans="1:7" ht="18" customHeight="1" x14ac:dyDescent="0.35">
      <c r="A13" s="76" t="s">
        <v>52</v>
      </c>
      <c r="B13" s="186">
        <f>ROUND('Labor Detail'!B36,0)</f>
        <v>0</v>
      </c>
      <c r="C13" s="186">
        <f>ROUND('Labor Detail'!C36,0)</f>
        <v>0</v>
      </c>
      <c r="D13" s="186">
        <f>ROUND('Labor Detail'!D36,0)</f>
        <v>0</v>
      </c>
      <c r="E13" s="186">
        <f>ROUND('Labor Detail'!E36,0)</f>
        <v>0</v>
      </c>
      <c r="F13" s="186">
        <f>ROUND('Labor Detail'!F36,0)</f>
        <v>0</v>
      </c>
      <c r="G13" s="78">
        <f>ROUND(SUM(B13:F13),0)</f>
        <v>0</v>
      </c>
    </row>
    <row r="14" spans="1:7" ht="18" customHeight="1" x14ac:dyDescent="0.35">
      <c r="A14" s="76" t="s">
        <v>53</v>
      </c>
      <c r="B14" s="77">
        <f>ROUND('Labor Detail'!B45,0)</f>
        <v>0</v>
      </c>
      <c r="C14" s="77">
        <f>ROUND('Labor Detail'!C45,0)</f>
        <v>0</v>
      </c>
      <c r="D14" s="77">
        <f>ROUND('Labor Detail'!D45,0)</f>
        <v>0</v>
      </c>
      <c r="E14" s="77">
        <f>ROUND('Labor Detail'!E45,0)</f>
        <v>0</v>
      </c>
      <c r="F14" s="77">
        <f>ROUND('Labor Detail'!F45,0)</f>
        <v>0</v>
      </c>
      <c r="G14" s="78">
        <f>ROUND(SUM(B14:F14),0)</f>
        <v>0</v>
      </c>
    </row>
    <row r="15" spans="1:7" ht="18" customHeight="1" x14ac:dyDescent="0.35">
      <c r="A15" s="76" t="s">
        <v>54</v>
      </c>
      <c r="B15" s="77">
        <f>ROUND('Labor Detail'!B53,0)</f>
        <v>0</v>
      </c>
      <c r="C15" s="77">
        <f>ROUND('Labor Detail'!C53,0)</f>
        <v>0</v>
      </c>
      <c r="D15" s="77">
        <f>ROUND('Labor Detail'!D53,0)</f>
        <v>0</v>
      </c>
      <c r="E15" s="77">
        <f>ROUND('Labor Detail'!E53,0)</f>
        <v>0</v>
      </c>
      <c r="F15" s="77">
        <f>ROUND('Labor Detail'!F53,0)</f>
        <v>0</v>
      </c>
      <c r="G15" s="78">
        <f>ROUND(SUM(B15:F15),0)</f>
        <v>0</v>
      </c>
    </row>
    <row r="16" spans="1:7" ht="18" customHeight="1" x14ac:dyDescent="0.35">
      <c r="A16" s="76" t="s">
        <v>55</v>
      </c>
      <c r="B16" s="77">
        <f>ROUND('Labor Detail'!B61,0)</f>
        <v>0</v>
      </c>
      <c r="C16" s="77">
        <f>ROUND('Labor Detail'!C61,0)</f>
        <v>0</v>
      </c>
      <c r="D16" s="77">
        <f>ROUND('Labor Detail'!D61,0)</f>
        <v>0</v>
      </c>
      <c r="E16" s="77">
        <f>ROUND('Labor Detail'!E61,0)</f>
        <v>0</v>
      </c>
      <c r="F16" s="77">
        <f>ROUND('Labor Detail'!F61,0)</f>
        <v>0</v>
      </c>
      <c r="G16" s="78">
        <f>ROUND(SUM(B16:F16),0)</f>
        <v>0</v>
      </c>
    </row>
    <row r="17" spans="1:8" ht="18" customHeight="1" x14ac:dyDescent="0.35">
      <c r="A17" s="76" t="s">
        <v>56</v>
      </c>
      <c r="B17" s="77">
        <f>ROUND('Labor Detail'!B69,0)</f>
        <v>0</v>
      </c>
      <c r="C17" s="77">
        <f>ROUND('Labor Detail'!C69,0)</f>
        <v>0</v>
      </c>
      <c r="D17" s="77">
        <f>ROUND('Labor Detail'!D69,0)</f>
        <v>0</v>
      </c>
      <c r="E17" s="77">
        <f>ROUND('Labor Detail'!E69,0)</f>
        <v>0</v>
      </c>
      <c r="F17" s="77">
        <f>ROUND('Labor Detail'!F69,0)</f>
        <v>0</v>
      </c>
      <c r="G17" s="78">
        <f>ROUND(SUM(B17:F17),0)</f>
        <v>0</v>
      </c>
    </row>
    <row r="18" spans="1:8" ht="18.600000000000001" customHeight="1" thickBot="1" x14ac:dyDescent="0.4">
      <c r="A18" s="79" t="s">
        <v>57</v>
      </c>
      <c r="B18" s="80">
        <f t="shared" ref="B18:G18" si="0">ROUND(SUM(B13:B17),0)</f>
        <v>0</v>
      </c>
      <c r="C18" s="80">
        <f t="shared" si="0"/>
        <v>0</v>
      </c>
      <c r="D18" s="80">
        <f t="shared" si="0"/>
        <v>0</v>
      </c>
      <c r="E18" s="80">
        <f t="shared" si="0"/>
        <v>0</v>
      </c>
      <c r="F18" s="80">
        <f t="shared" si="0"/>
        <v>0</v>
      </c>
      <c r="G18" s="80">
        <f t="shared" si="0"/>
        <v>0</v>
      </c>
    </row>
    <row r="19" spans="1:8" ht="18.600000000000001" customHeight="1" thickTop="1" x14ac:dyDescent="0.35">
      <c r="A19" s="72"/>
      <c r="B19" s="78"/>
      <c r="C19" s="78"/>
      <c r="D19" s="78"/>
      <c r="E19" s="78"/>
      <c r="F19" s="78"/>
      <c r="G19" s="78"/>
    </row>
    <row r="20" spans="1:8" ht="18" customHeight="1" x14ac:dyDescent="0.35">
      <c r="A20" s="65" t="s">
        <v>58</v>
      </c>
      <c r="B20" s="77"/>
      <c r="C20" s="77"/>
      <c r="D20" s="77"/>
      <c r="E20" s="77"/>
      <c r="F20" s="77"/>
      <c r="G20" s="78"/>
    </row>
    <row r="21" spans="1:8" ht="18" customHeight="1" x14ac:dyDescent="0.35">
      <c r="A21" s="76" t="s">
        <v>52</v>
      </c>
      <c r="B21" s="77">
        <f>ROUND('Labor Detail'!H36,0)</f>
        <v>0</v>
      </c>
      <c r="C21" s="77">
        <f>ROUND('Labor Detail'!I36,0)</f>
        <v>0</v>
      </c>
      <c r="D21" s="77">
        <f>ROUND('Labor Detail'!J36,0)</f>
        <v>0</v>
      </c>
      <c r="E21" s="77">
        <f>ROUND('Labor Detail'!K36,0)</f>
        <v>0</v>
      </c>
      <c r="F21" s="77">
        <f>ROUND('Labor Detail'!L36,0)</f>
        <v>0</v>
      </c>
      <c r="G21" s="78">
        <f>ROUND(SUM(B21:F21),0)</f>
        <v>0</v>
      </c>
    </row>
    <row r="22" spans="1:8" ht="18" customHeight="1" x14ac:dyDescent="0.35">
      <c r="A22" s="76" t="s">
        <v>53</v>
      </c>
      <c r="B22" s="77">
        <f>ROUND('Labor Detail'!H45,0)</f>
        <v>0</v>
      </c>
      <c r="C22" s="77">
        <f>ROUND('Labor Detail'!I45,0)</f>
        <v>0</v>
      </c>
      <c r="D22" s="77">
        <f>ROUND('Labor Detail'!J45,0)</f>
        <v>0</v>
      </c>
      <c r="E22" s="77">
        <f>ROUND('Labor Detail'!K45,0)</f>
        <v>0</v>
      </c>
      <c r="F22" s="77">
        <f>ROUND('Labor Detail'!L45,0)</f>
        <v>0</v>
      </c>
      <c r="G22" s="78">
        <f>ROUND(SUM(B22:F22),0)</f>
        <v>0</v>
      </c>
      <c r="H22" s="27"/>
    </row>
    <row r="23" spans="1:8" ht="18" customHeight="1" x14ac:dyDescent="0.35">
      <c r="A23" s="76" t="s">
        <v>54</v>
      </c>
      <c r="B23" s="77">
        <f>ROUND('Labor Detail'!H53,0)</f>
        <v>0</v>
      </c>
      <c r="C23" s="77">
        <f>ROUND('Labor Detail'!I53,0)</f>
        <v>0</v>
      </c>
      <c r="D23" s="77">
        <f>ROUND('Labor Detail'!J53,0)</f>
        <v>0</v>
      </c>
      <c r="E23" s="77">
        <f>ROUND('Labor Detail'!K53,0)</f>
        <v>0</v>
      </c>
      <c r="F23" s="77">
        <f>ROUND('Labor Detail'!L53,0)</f>
        <v>0</v>
      </c>
      <c r="G23" s="78">
        <f>ROUND(SUM(B23:F23),0)</f>
        <v>0</v>
      </c>
    </row>
    <row r="24" spans="1:8" ht="18" customHeight="1" x14ac:dyDescent="0.35">
      <c r="A24" s="76" t="s">
        <v>59</v>
      </c>
      <c r="B24" s="77">
        <f>ROUND('Labor Detail'!H61,0)</f>
        <v>0</v>
      </c>
      <c r="C24" s="77">
        <f>ROUND('Labor Detail'!I61,0)</f>
        <v>0</v>
      </c>
      <c r="D24" s="77">
        <f>ROUND('Labor Detail'!J61,0)</f>
        <v>0</v>
      </c>
      <c r="E24" s="77">
        <f>ROUND('Labor Detail'!K61,0)</f>
        <v>0</v>
      </c>
      <c r="F24" s="77">
        <f>ROUND('Labor Detail'!L61,0)</f>
        <v>0</v>
      </c>
      <c r="G24" s="78">
        <f>ROUND(SUM(B24:F24),0)</f>
        <v>0</v>
      </c>
    </row>
    <row r="25" spans="1:8" ht="18" customHeight="1" x14ac:dyDescent="0.35">
      <c r="A25" s="76" t="s">
        <v>56</v>
      </c>
      <c r="B25" s="77">
        <f>ROUND('Labor Detail'!H69,0)</f>
        <v>0</v>
      </c>
      <c r="C25" s="77">
        <f>ROUND('Labor Detail'!I69,0)</f>
        <v>0</v>
      </c>
      <c r="D25" s="77">
        <f>ROUND('Labor Detail'!J69,0)</f>
        <v>0</v>
      </c>
      <c r="E25" s="77">
        <f>ROUND('Labor Detail'!K69,0)</f>
        <v>0</v>
      </c>
      <c r="F25" s="77">
        <f>ROUND('Labor Detail'!L69,0)</f>
        <v>0</v>
      </c>
      <c r="G25" s="78">
        <f>ROUND(SUM(B25:F25),0)</f>
        <v>0</v>
      </c>
    </row>
    <row r="26" spans="1:8" ht="18.600000000000001" customHeight="1" thickBot="1" x14ac:dyDescent="0.4">
      <c r="A26" s="79" t="s">
        <v>60</v>
      </c>
      <c r="B26" s="80">
        <f t="shared" ref="B26:G26" si="1">ROUND(SUM(B21:B25),0)</f>
        <v>0</v>
      </c>
      <c r="C26" s="80">
        <f t="shared" si="1"/>
        <v>0</v>
      </c>
      <c r="D26" s="80">
        <f t="shared" si="1"/>
        <v>0</v>
      </c>
      <c r="E26" s="80">
        <f t="shared" si="1"/>
        <v>0</v>
      </c>
      <c r="F26" s="80">
        <f t="shared" si="1"/>
        <v>0</v>
      </c>
      <c r="G26" s="80">
        <f t="shared" si="1"/>
        <v>0</v>
      </c>
    </row>
    <row r="27" spans="1:8" ht="12" customHeight="1" thickTop="1" x14ac:dyDescent="0.35">
      <c r="A27" s="72"/>
      <c r="B27" s="78"/>
      <c r="C27" s="78"/>
      <c r="D27" s="78"/>
      <c r="E27" s="78"/>
      <c r="F27" s="78"/>
      <c r="G27" s="78"/>
    </row>
    <row r="28" spans="1:8" ht="18" customHeight="1" x14ac:dyDescent="0.35">
      <c r="A28" s="72" t="s">
        <v>61</v>
      </c>
      <c r="B28" s="77"/>
      <c r="C28" s="77"/>
      <c r="D28" s="77"/>
      <c r="E28" s="77"/>
      <c r="F28" s="77"/>
      <c r="G28" s="78"/>
    </row>
    <row r="29" spans="1:8" ht="18" customHeight="1" x14ac:dyDescent="0.35">
      <c r="A29" s="81" t="s">
        <v>62</v>
      </c>
      <c r="B29" s="82">
        <f>ROUND(Equipment!D26-Equipment!D40,0)</f>
        <v>0</v>
      </c>
      <c r="C29" s="82">
        <f>ROUND(Equipment!E26-Equipment!E40,0)</f>
        <v>0</v>
      </c>
      <c r="D29" s="82">
        <f>ROUND(Equipment!F26-Equipment!F40,0)</f>
        <v>0</v>
      </c>
      <c r="E29" s="82">
        <f>ROUND(Equipment!G26-Equipment!G40,0)</f>
        <v>0</v>
      </c>
      <c r="F29" s="82">
        <f>ROUND(Equipment!H26-Equipment!H40,0)</f>
        <v>0</v>
      </c>
      <c r="G29" s="78">
        <f t="shared" ref="G29:G43" si="2">ROUND(SUM(B29:F29),0)</f>
        <v>0</v>
      </c>
    </row>
    <row r="30" spans="1:8" ht="18" customHeight="1" x14ac:dyDescent="0.35">
      <c r="A30" s="81" t="s">
        <v>63</v>
      </c>
      <c r="B30" s="82">
        <f>ROUND(Travel!E16-Travel!E19,0)</f>
        <v>0</v>
      </c>
      <c r="C30" s="82">
        <f>ROUND(Travel!F16-Travel!F19,0)</f>
        <v>0</v>
      </c>
      <c r="D30" s="82">
        <f>ROUND(Travel!G16-Travel!G19,0)</f>
        <v>0</v>
      </c>
      <c r="E30" s="82">
        <f>ROUND(Travel!H16-Travel!H19,0)</f>
        <v>0</v>
      </c>
      <c r="F30" s="82">
        <f>ROUND(Travel!I16-Travel!I19,0)</f>
        <v>0</v>
      </c>
      <c r="G30" s="78">
        <f t="shared" si="2"/>
        <v>0</v>
      </c>
    </row>
    <row r="31" spans="1:8" ht="18" customHeight="1" x14ac:dyDescent="0.35">
      <c r="A31" s="124" t="s">
        <v>23</v>
      </c>
      <c r="B31" s="125">
        <f>ROUND(Travel!E17,0)</f>
        <v>0</v>
      </c>
      <c r="C31" s="125">
        <f>ROUND(Travel!F17,0)</f>
        <v>0</v>
      </c>
      <c r="D31" s="125">
        <f>ROUND(Travel!G17,0)</f>
        <v>0</v>
      </c>
      <c r="E31" s="125">
        <f>ROUND(Travel!H17,0)</f>
        <v>0</v>
      </c>
      <c r="F31" s="125">
        <f>ROUND(Travel!I17,0)</f>
        <v>0</v>
      </c>
      <c r="G31" s="78">
        <f t="shared" si="2"/>
        <v>0</v>
      </c>
    </row>
    <row r="32" spans="1:8" ht="18" customHeight="1" x14ac:dyDescent="0.35">
      <c r="A32" s="124" t="s">
        <v>64</v>
      </c>
      <c r="B32" s="125">
        <f>ROUND(Travel!E18,0)</f>
        <v>0</v>
      </c>
      <c r="C32" s="125">
        <f>ROUND(Travel!F18,0)</f>
        <v>0</v>
      </c>
      <c r="D32" s="125">
        <f>ROUND(Travel!G18,0)</f>
        <v>0</v>
      </c>
      <c r="E32" s="125">
        <f>ROUND(Travel!H18,0)</f>
        <v>0</v>
      </c>
      <c r="F32" s="125">
        <f>ROUND(Travel!I18,0)</f>
        <v>0</v>
      </c>
      <c r="G32" s="78">
        <f t="shared" si="2"/>
        <v>0</v>
      </c>
    </row>
    <row r="33" spans="1:7" ht="18" customHeight="1" x14ac:dyDescent="0.35">
      <c r="A33" s="76" t="s">
        <v>65</v>
      </c>
      <c r="B33" s="82">
        <f>ROUND(Honorarium!D26-Honorarium!D40,0)</f>
        <v>0</v>
      </c>
      <c r="C33" s="82">
        <f>ROUND(Honorarium!E26-Honorarium!E40,0)</f>
        <v>0</v>
      </c>
      <c r="D33" s="82">
        <f>ROUND(Honorarium!F26-Honorarium!F40,0)</f>
        <v>0</v>
      </c>
      <c r="E33" s="82">
        <f>ROUND(Honorarium!G26-Honorarium!G40,0)</f>
        <v>0</v>
      </c>
      <c r="F33" s="82">
        <f>ROUND(Honorarium!H26-Honorarium!H40,0)</f>
        <v>0</v>
      </c>
      <c r="G33" s="78">
        <f t="shared" si="2"/>
        <v>0</v>
      </c>
    </row>
    <row r="34" spans="1:7" ht="18" customHeight="1" x14ac:dyDescent="0.35">
      <c r="A34" s="76" t="s">
        <v>66</v>
      </c>
      <c r="B34" s="82">
        <f>ROUND(Materials!D26-Materials!D40,0)</f>
        <v>0</v>
      </c>
      <c r="C34" s="82">
        <f>ROUND(Materials!E26-Materials!E40,0)</f>
        <v>0</v>
      </c>
      <c r="D34" s="82">
        <f>ROUND(Materials!F26-Materials!F40,0)</f>
        <v>0</v>
      </c>
      <c r="E34" s="82">
        <f>ROUND(Materials!G26-Materials!G40,0)</f>
        <v>0</v>
      </c>
      <c r="F34" s="82">
        <f>ROUND(Materials!H26-Materials!H40,0)</f>
        <v>0</v>
      </c>
      <c r="G34" s="78">
        <f t="shared" si="2"/>
        <v>0</v>
      </c>
    </row>
    <row r="35" spans="1:7" ht="18" customHeight="1" x14ac:dyDescent="0.35">
      <c r="A35" s="76" t="s">
        <v>67</v>
      </c>
      <c r="B35" s="82">
        <f>ROUND(Services_Consulting!D26-Services_Consulting!D40,0)</f>
        <v>0</v>
      </c>
      <c r="C35" s="82">
        <f>ROUND(Services_Consulting!E26-Services_Consulting!E40,0)</f>
        <v>0</v>
      </c>
      <c r="D35" s="82">
        <f>ROUND(Services_Consulting!F26-Services_Consulting!F40,0)</f>
        <v>0</v>
      </c>
      <c r="E35" s="82">
        <f>ROUND(Services_Consulting!G26-Services_Consulting!G40,0)</f>
        <v>0</v>
      </c>
      <c r="F35" s="82">
        <f>ROUND(Services_Consulting!H26-Services_Consulting!H40,0)</f>
        <v>0</v>
      </c>
      <c r="G35" s="78">
        <f t="shared" si="2"/>
        <v>0</v>
      </c>
    </row>
    <row r="36" spans="1:7" ht="18" customHeight="1" x14ac:dyDescent="0.35">
      <c r="A36" s="76" t="s">
        <v>68</v>
      </c>
      <c r="B36" s="82">
        <f>ROUND('Participant Costs'!D26-'Participant Costs'!D40,0)</f>
        <v>0</v>
      </c>
      <c r="C36" s="82">
        <f>ROUND('Participant Costs'!E26-'Participant Costs'!E40,0)</f>
        <v>0</v>
      </c>
      <c r="D36" s="82">
        <f>ROUND('Participant Costs'!F26-'Participant Costs'!F40,0)</f>
        <v>0</v>
      </c>
      <c r="E36" s="82">
        <f>ROUND('Participant Costs'!G26-'Participant Costs'!G40,0)</f>
        <v>0</v>
      </c>
      <c r="F36" s="82">
        <f>ROUND('Participant Costs'!H26-'Participant Costs'!H40,0)</f>
        <v>0</v>
      </c>
      <c r="G36" s="78">
        <f t="shared" si="2"/>
        <v>0</v>
      </c>
    </row>
    <row r="37" spans="1:7" ht="18" customHeight="1" x14ac:dyDescent="0.35">
      <c r="A37" s="83" t="s">
        <v>69</v>
      </c>
      <c r="B37" s="108">
        <f>ROUND(Tuition!D26-Tuition!D40,0)</f>
        <v>0</v>
      </c>
      <c r="C37" s="108">
        <f>ROUND(Tuition!E26-Tuition!E40,0)</f>
        <v>0</v>
      </c>
      <c r="D37" s="108">
        <f>ROUND(Tuition!F26-Tuition!F40,0)</f>
        <v>0</v>
      </c>
      <c r="E37" s="108">
        <f>ROUND(Tuition!G26-Tuition!G40,0)</f>
        <v>0</v>
      </c>
      <c r="F37" s="108">
        <f>ROUND(Tuition!H26-Tuition!H40,0)</f>
        <v>0</v>
      </c>
      <c r="G37" s="78">
        <f t="shared" si="2"/>
        <v>0</v>
      </c>
    </row>
    <row r="38" spans="1:7" ht="18" customHeight="1" x14ac:dyDescent="0.35">
      <c r="A38" s="76" t="s">
        <v>61</v>
      </c>
      <c r="B38" s="82">
        <f>ROUND('Other DC'!D26-'Other DC'!D40,0)</f>
        <v>0</v>
      </c>
      <c r="C38" s="82">
        <f>ROUND('Other DC'!E26-'Other DC'!E40,0)</f>
        <v>0</v>
      </c>
      <c r="D38" s="82">
        <f>ROUND('Other DC'!F26-'Other DC'!F40,0)</f>
        <v>0</v>
      </c>
      <c r="E38" s="82">
        <f>ROUND('Other DC'!G26-'Other DC'!G40,0)</f>
        <v>0</v>
      </c>
      <c r="F38" s="82">
        <f>ROUND('Other DC'!H26-'Other DC'!H40,0)</f>
        <v>0</v>
      </c>
      <c r="G38" s="78">
        <f t="shared" si="2"/>
        <v>0</v>
      </c>
    </row>
    <row r="39" spans="1:7" ht="18" customHeight="1" x14ac:dyDescent="0.35">
      <c r="A39" s="84" t="s">
        <v>70</v>
      </c>
      <c r="B39" s="85">
        <f>ROUND(SUM(B29:B38)-B31-B32,0)</f>
        <v>0</v>
      </c>
      <c r="C39" s="85">
        <f>ROUND(SUM(C29:C38)-C31-C32,0)</f>
        <v>0</v>
      </c>
      <c r="D39" s="85">
        <f>ROUND(SUM(D29:D38)-D31-D32,0)</f>
        <v>0</v>
      </c>
      <c r="E39" s="85">
        <f>ROUND(SUM(E29:E38)-E31-E32,0)</f>
        <v>0</v>
      </c>
      <c r="F39" s="85">
        <f>ROUND(SUM(F29:F38)-F31-F32,0)</f>
        <v>0</v>
      </c>
      <c r="G39" s="85">
        <f t="shared" si="2"/>
        <v>0</v>
      </c>
    </row>
    <row r="40" spans="1:7" ht="18.600000000000001" customHeight="1" thickBot="1" x14ac:dyDescent="0.4">
      <c r="A40" s="56" t="s">
        <v>71</v>
      </c>
      <c r="B40" s="86">
        <f>ROUND(B39+B26+B18,0)</f>
        <v>0</v>
      </c>
      <c r="C40" s="86">
        <f>ROUND(C39+C26+C18,0)</f>
        <v>0</v>
      </c>
      <c r="D40" s="86">
        <f>ROUND(D39+D26+D18,0)</f>
        <v>0</v>
      </c>
      <c r="E40" s="86">
        <f>ROUND(E39+E26+E18,0)</f>
        <v>0</v>
      </c>
      <c r="F40" s="86">
        <f>ROUND(F39+F26+F18,0)</f>
        <v>0</v>
      </c>
      <c r="G40" s="86">
        <f t="shared" si="2"/>
        <v>0</v>
      </c>
    </row>
    <row r="41" spans="1:7" ht="18.600000000000001" customHeight="1" thickTop="1" x14ac:dyDescent="0.35">
      <c r="A41" s="87" t="s">
        <v>72</v>
      </c>
      <c r="B41" s="77">
        <f>ROUND(Subcontracts!D39,0)</f>
        <v>0</v>
      </c>
      <c r="C41" s="77">
        <f>ROUND(Subcontracts!E39,0)</f>
        <v>0</v>
      </c>
      <c r="D41" s="77">
        <f>ROUND(Subcontracts!F39,0)</f>
        <v>0</v>
      </c>
      <c r="E41" s="77">
        <f>ROUND(Subcontracts!G39,0)</f>
        <v>0</v>
      </c>
      <c r="F41" s="77">
        <f>ROUND(Subcontracts!H39,0)</f>
        <v>0</v>
      </c>
      <c r="G41" s="78">
        <f t="shared" si="2"/>
        <v>0</v>
      </c>
    </row>
    <row r="42" spans="1:7" ht="18" customHeight="1" x14ac:dyDescent="0.35">
      <c r="A42" s="87" t="s">
        <v>73</v>
      </c>
      <c r="B42" s="77">
        <f>ROUND(Subcontracts!D40,0)</f>
        <v>0</v>
      </c>
      <c r="C42" s="77">
        <f>ROUND(Subcontracts!E40,0)</f>
        <v>0</v>
      </c>
      <c r="D42" s="77">
        <f>ROUND(Subcontracts!F40,0)</f>
        <v>0</v>
      </c>
      <c r="E42" s="77">
        <f>ROUND(Subcontracts!G40,0)</f>
        <v>0</v>
      </c>
      <c r="F42" s="77">
        <f>ROUND(Subcontracts!H40,0)</f>
        <v>0</v>
      </c>
      <c r="G42" s="78">
        <f t="shared" si="2"/>
        <v>0</v>
      </c>
    </row>
    <row r="43" spans="1:7" ht="18" customHeight="1" x14ac:dyDescent="0.35">
      <c r="A43" s="84" t="s">
        <v>74</v>
      </c>
      <c r="B43" s="85">
        <f>ROUND(SUM(B41:B42),0)</f>
        <v>0</v>
      </c>
      <c r="C43" s="85">
        <f>ROUND(SUM(C41:C42),0)</f>
        <v>0</v>
      </c>
      <c r="D43" s="85">
        <f>ROUND(SUM(D41:D42),0)</f>
        <v>0</v>
      </c>
      <c r="E43" s="85">
        <f>ROUND(SUM(E41:E42),0)</f>
        <v>0</v>
      </c>
      <c r="F43" s="85">
        <f>ROUND(SUM(F41:F42),0)</f>
        <v>0</v>
      </c>
      <c r="G43" s="85">
        <f t="shared" si="2"/>
        <v>0</v>
      </c>
    </row>
    <row r="44" spans="1:7" ht="18" customHeight="1" x14ac:dyDescent="0.35">
      <c r="A44" s="72"/>
      <c r="B44" s="78"/>
      <c r="C44" s="78"/>
      <c r="D44" s="78"/>
      <c r="E44" s="78"/>
      <c r="F44" s="78"/>
      <c r="G44" s="78"/>
    </row>
    <row r="45" spans="1:7" ht="18.600000000000001" customHeight="1" thickBot="1" x14ac:dyDescent="0.4">
      <c r="A45" s="88" t="s">
        <v>75</v>
      </c>
      <c r="B45" s="86">
        <f>ROUND(B40+B43,0)</f>
        <v>0</v>
      </c>
      <c r="C45" s="86">
        <f>ROUND(C40+C43,0)</f>
        <v>0</v>
      </c>
      <c r="D45" s="86">
        <f>ROUND(D40+D43,0)</f>
        <v>0</v>
      </c>
      <c r="E45" s="86">
        <f>ROUND(E40+E43,0)</f>
        <v>0</v>
      </c>
      <c r="F45" s="86">
        <f>ROUND(F40+F43,0)</f>
        <v>0</v>
      </c>
      <c r="G45" s="86">
        <f>ROUND(SUM(B45:F45),0)</f>
        <v>0</v>
      </c>
    </row>
    <row r="46" spans="1:7" ht="18.600000000000001" customHeight="1" thickTop="1" x14ac:dyDescent="0.35">
      <c r="A46" s="204" t="s">
        <v>76</v>
      </c>
      <c r="B46" s="77">
        <f>IF($A46="TDC",B45,IF($A$46="RWJF",B45,B45-B29-B36-B37-B42))</f>
        <v>0</v>
      </c>
      <c r="C46" s="77">
        <f>IF($A46="TDC",C45,IF($A$46="RWJF",C45,C45-C29-C36-C37-C42))</f>
        <v>0</v>
      </c>
      <c r="D46" s="77">
        <f>IF($A46="TDC",D45,IF($A$46="RWJF",D45,D45-D29-D36-D37-D42))</f>
        <v>0</v>
      </c>
      <c r="E46" s="77">
        <f>IF($A46="TDC",E45,IF($A$46="RWJF",E45,E45-E29-E36-E37-E42))</f>
        <v>0</v>
      </c>
      <c r="F46" s="77">
        <f>IF($A46="TDC",F45,IF($A$46="RWJF",F45,F45-F29-F36-F37-F42))</f>
        <v>0</v>
      </c>
      <c r="G46" s="77">
        <f>ROUND(SUM(B46:F46),0)</f>
        <v>0</v>
      </c>
    </row>
    <row r="47" spans="1:7" ht="18" customHeight="1" x14ac:dyDescent="0.35">
      <c r="A47" s="172" t="s">
        <v>77</v>
      </c>
      <c r="B47" s="173">
        <f ca="1">IF($F$54="Yes",B$46*$G$54,B$46*$B$54)</f>
        <v>0</v>
      </c>
      <c r="C47" s="173">
        <f ca="1">IF($F$54="Yes",C$46*$G$54,C$46*$B$54)</f>
        <v>0</v>
      </c>
      <c r="D47" s="173">
        <f ca="1">IF($F$54="Yes",D$46*$G$54,D$46*$B$54)</f>
        <v>0</v>
      </c>
      <c r="E47" s="173">
        <f ca="1">IF($F$54="Yes",E$46*$G$54,E$46*$B$54)</f>
        <v>0</v>
      </c>
      <c r="F47" s="173">
        <f ca="1">IF($F$54="Yes",F$46*$G$54,F$46*$B$54)</f>
        <v>0</v>
      </c>
      <c r="G47" s="174">
        <f ca="1">ROUND(SUM(B47:F47),0)</f>
        <v>0</v>
      </c>
    </row>
    <row r="48" spans="1:7" ht="18" customHeight="1" x14ac:dyDescent="0.35">
      <c r="A48" s="172"/>
      <c r="B48" s="173"/>
      <c r="C48" s="173"/>
      <c r="D48" s="173"/>
      <c r="E48" s="173"/>
      <c r="F48" s="173"/>
      <c r="G48" s="174"/>
    </row>
    <row r="49" spans="1:8" ht="18.600000000000001" customHeight="1" thickBot="1" x14ac:dyDescent="0.4">
      <c r="A49" s="176" t="s">
        <v>78</v>
      </c>
      <c r="B49" s="80">
        <f t="shared" ref="B49:G49" ca="1" si="3">ROUND(B45+B47,0)</f>
        <v>0</v>
      </c>
      <c r="C49" s="80">
        <f t="shared" ca="1" si="3"/>
        <v>0</v>
      </c>
      <c r="D49" s="80">
        <f t="shared" ca="1" si="3"/>
        <v>0</v>
      </c>
      <c r="E49" s="80">
        <f t="shared" ca="1" si="3"/>
        <v>0</v>
      </c>
      <c r="F49" s="80">
        <f t="shared" ca="1" si="3"/>
        <v>0</v>
      </c>
      <c r="G49" s="80">
        <f t="shared" ca="1" si="3"/>
        <v>0</v>
      </c>
    </row>
    <row r="50" spans="1:8" ht="18.600000000000001" customHeight="1" thickTop="1" x14ac:dyDescent="0.35">
      <c r="A50" s="175"/>
      <c r="B50" s="180"/>
      <c r="C50" s="180"/>
      <c r="D50" s="180"/>
      <c r="E50" s="180"/>
      <c r="F50" s="180"/>
      <c r="G50" s="180"/>
    </row>
    <row r="51" spans="1:8" ht="18" customHeight="1" x14ac:dyDescent="0.35">
      <c r="A51" s="177" t="s">
        <v>79</v>
      </c>
      <c r="B51" s="171">
        <f>'Cost Share'!B49</f>
        <v>0</v>
      </c>
      <c r="C51" s="171">
        <f>'Cost Share'!C49</f>
        <v>0</v>
      </c>
      <c r="D51" s="171">
        <f>'Cost Share'!D49</f>
        <v>0</v>
      </c>
      <c r="E51" s="171">
        <f>'Cost Share'!E49</f>
        <v>0</v>
      </c>
      <c r="F51" s="171">
        <f>'Cost Share'!F49</f>
        <v>0</v>
      </c>
      <c r="G51" s="171">
        <f>'Cost Share'!G49</f>
        <v>0</v>
      </c>
    </row>
    <row r="52" spans="1:8" ht="18.600000000000001" customHeight="1" thickBot="1" x14ac:dyDescent="0.4">
      <c r="A52" s="178" t="s">
        <v>80</v>
      </c>
      <c r="B52" s="179">
        <f t="shared" ref="B52:G52" ca="1" si="4">ROUND(B49+B51,0)</f>
        <v>0</v>
      </c>
      <c r="C52" s="179">
        <f t="shared" ca="1" si="4"/>
        <v>0</v>
      </c>
      <c r="D52" s="179">
        <f t="shared" ca="1" si="4"/>
        <v>0</v>
      </c>
      <c r="E52" s="179">
        <f t="shared" ca="1" si="4"/>
        <v>0</v>
      </c>
      <c r="F52" s="179">
        <f t="shared" ca="1" si="4"/>
        <v>0</v>
      </c>
      <c r="G52" s="179">
        <f t="shared" ca="1" si="4"/>
        <v>0</v>
      </c>
      <c r="H52" s="201"/>
    </row>
    <row r="53" spans="1:8" ht="18.600000000000001" customHeight="1" thickTop="1" x14ac:dyDescent="0.35">
      <c r="A53" s="89"/>
      <c r="B53" s="89"/>
      <c r="C53" s="89"/>
      <c r="D53" s="89"/>
      <c r="E53" s="89"/>
      <c r="F53" s="89"/>
      <c r="G53" s="70"/>
    </row>
    <row r="54" spans="1:8" ht="18" customHeight="1" x14ac:dyDescent="0.35">
      <c r="A54" s="382" t="s">
        <v>81</v>
      </c>
      <c r="B54" s="107">
        <f ca="1">OFFSET($A$61,MATCH(A55,A62:A70,0),MATCH(A56,B61:D61,0))</f>
        <v>0.5</v>
      </c>
      <c r="C54" s="89"/>
      <c r="D54" s="56" t="s">
        <v>82</v>
      </c>
      <c r="E54" s="90"/>
      <c r="F54" s="91" t="s">
        <v>34</v>
      </c>
      <c r="G54" s="274">
        <v>0</v>
      </c>
    </row>
    <row r="55" spans="1:8" ht="18" customHeight="1" x14ac:dyDescent="0.35">
      <c r="A55" s="92" t="s">
        <v>83</v>
      </c>
      <c r="B55" s="93"/>
      <c r="C55" s="89"/>
      <c r="D55" s="89"/>
      <c r="E55" s="89"/>
      <c r="F55" s="94" t="str">
        <f>IF(F54="Yes","Waiver or Sponsor Policy Needed","")</f>
        <v/>
      </c>
      <c r="G55" s="93"/>
    </row>
    <row r="56" spans="1:8" ht="18" customHeight="1" x14ac:dyDescent="0.35">
      <c r="A56" s="92" t="s">
        <v>84</v>
      </c>
      <c r="B56" s="93"/>
      <c r="C56" s="89"/>
      <c r="D56" s="89"/>
      <c r="E56" s="89"/>
      <c r="F56" s="93"/>
      <c r="G56" s="115" t="s">
        <v>85</v>
      </c>
    </row>
    <row r="57" spans="1:8" ht="18" customHeight="1" x14ac:dyDescent="0.35">
      <c r="A57" s="95"/>
      <c r="B57" s="95"/>
      <c r="C57" s="95"/>
      <c r="D57" s="95"/>
      <c r="E57" s="95"/>
      <c r="F57" s="95"/>
      <c r="G57" s="135">
        <v>41645</v>
      </c>
      <c r="H57" s="49">
        <f ca="1">G49-G57</f>
        <v>-41645</v>
      </c>
    </row>
    <row r="58" spans="1:8" ht="18" customHeight="1" x14ac:dyDescent="0.35">
      <c r="A58" s="65" t="s">
        <v>86</v>
      </c>
      <c r="B58" s="71" t="s">
        <v>45</v>
      </c>
      <c r="C58" s="91" t="s">
        <v>33</v>
      </c>
      <c r="D58" s="134">
        <v>0.03</v>
      </c>
      <c r="E58" s="95"/>
      <c r="F58" s="95"/>
      <c r="G58" s="146"/>
      <c r="H58" s="27"/>
    </row>
    <row r="59" spans="1:8" ht="18" customHeight="1" x14ac:dyDescent="0.35">
      <c r="A59" s="65"/>
      <c r="B59" s="71" t="s">
        <v>87</v>
      </c>
      <c r="C59" s="91" t="s">
        <v>33</v>
      </c>
      <c r="D59" s="237"/>
      <c r="E59" s="95"/>
      <c r="F59" s="95"/>
      <c r="G59" s="146"/>
    </row>
    <row r="60" spans="1:8" ht="18.600000000000001" customHeight="1" thickBot="1" x14ac:dyDescent="0.4">
      <c r="A60" s="95"/>
      <c r="B60" s="95"/>
      <c r="C60" s="95"/>
      <c r="D60" s="95"/>
      <c r="E60" s="95"/>
      <c r="F60" s="95"/>
      <c r="G60" s="147"/>
    </row>
    <row r="61" spans="1:8" ht="35.4" customHeight="1" x14ac:dyDescent="0.35">
      <c r="A61" s="96"/>
      <c r="B61" s="97" t="s">
        <v>84</v>
      </c>
      <c r="C61" s="97" t="s">
        <v>88</v>
      </c>
      <c r="D61" s="97"/>
      <c r="E61" s="98"/>
      <c r="F61" s="93"/>
      <c r="G61" s="93"/>
    </row>
    <row r="62" spans="1:8" ht="18" customHeight="1" x14ac:dyDescent="0.35">
      <c r="A62" s="93" t="s">
        <v>89</v>
      </c>
      <c r="B62" s="103">
        <v>0.48</v>
      </c>
      <c r="C62" s="103">
        <v>0.26</v>
      </c>
      <c r="D62" s="339"/>
      <c r="E62" s="100"/>
      <c r="F62" s="205"/>
      <c r="G62" s="93"/>
    </row>
    <row r="63" spans="1:8" ht="18" customHeight="1" x14ac:dyDescent="0.35">
      <c r="A63" s="93" t="s">
        <v>90</v>
      </c>
      <c r="B63" s="103">
        <v>0.49</v>
      </c>
      <c r="C63" s="103">
        <v>0.26</v>
      </c>
      <c r="D63" s="352">
        <v>45107</v>
      </c>
      <c r="E63" s="100"/>
      <c r="F63" s="205"/>
      <c r="G63" s="93"/>
    </row>
    <row r="64" spans="1:8" ht="18" customHeight="1" x14ac:dyDescent="0.35">
      <c r="A64" s="93" t="s">
        <v>83</v>
      </c>
      <c r="B64" s="103">
        <v>0.5</v>
      </c>
      <c r="C64" s="103">
        <v>0.26</v>
      </c>
      <c r="D64" s="339"/>
      <c r="E64" s="100"/>
      <c r="F64" s="205"/>
      <c r="G64" s="93"/>
    </row>
    <row r="65" spans="1:7" ht="18" customHeight="1" x14ac:dyDescent="0.35">
      <c r="A65" s="93" t="s">
        <v>91</v>
      </c>
      <c r="B65" s="103">
        <v>0.53</v>
      </c>
      <c r="C65" s="103">
        <v>0.26</v>
      </c>
      <c r="D65" s="339"/>
      <c r="E65" s="100"/>
      <c r="F65" s="93"/>
      <c r="G65" s="93"/>
    </row>
    <row r="66" spans="1:7" ht="18" customHeight="1" x14ac:dyDescent="0.35">
      <c r="A66" s="93" t="s">
        <v>92</v>
      </c>
      <c r="B66" s="348">
        <v>0.5</v>
      </c>
      <c r="C66" s="348">
        <v>0.26</v>
      </c>
      <c r="D66" s="339"/>
      <c r="E66" s="100"/>
      <c r="F66" s="93"/>
      <c r="G66" s="93"/>
    </row>
    <row r="67" spans="1:7" ht="18" customHeight="1" x14ac:dyDescent="0.35">
      <c r="A67" s="93" t="s">
        <v>93</v>
      </c>
      <c r="B67" s="348">
        <v>0.34</v>
      </c>
      <c r="C67" s="348">
        <v>0.26</v>
      </c>
      <c r="D67" s="339"/>
      <c r="E67" s="100"/>
      <c r="F67" s="93"/>
      <c r="G67" s="93"/>
    </row>
    <row r="68" spans="1:7" ht="18.600000000000001" customHeight="1" thickBot="1" x14ac:dyDescent="0.4">
      <c r="A68" s="93" t="s">
        <v>94</v>
      </c>
      <c r="B68" s="104">
        <v>0.32</v>
      </c>
      <c r="C68" s="104">
        <v>0.26</v>
      </c>
      <c r="D68" s="339"/>
      <c r="E68" s="100"/>
      <c r="F68" s="93"/>
      <c r="G68" s="93"/>
    </row>
    <row r="69" spans="1:7" ht="18" customHeight="1" x14ac:dyDescent="0.35">
      <c r="A69" s="99"/>
      <c r="B69" s="103">
        <v>0</v>
      </c>
      <c r="C69" s="103">
        <v>0</v>
      </c>
      <c r="D69" s="339"/>
      <c r="E69" s="100"/>
      <c r="F69" s="93"/>
      <c r="G69" s="93"/>
    </row>
    <row r="70" spans="1:7" ht="18.600000000000001" customHeight="1" thickBot="1" x14ac:dyDescent="0.4">
      <c r="A70" s="101"/>
      <c r="B70" s="104">
        <v>0</v>
      </c>
      <c r="C70" s="104">
        <v>0</v>
      </c>
      <c r="D70" s="340"/>
      <c r="E70" s="102"/>
      <c r="F70" s="93"/>
      <c r="G70" s="93"/>
    </row>
    <row r="72" spans="1:7" x14ac:dyDescent="0.3">
      <c r="A72" s="120" t="s">
        <v>95</v>
      </c>
      <c r="B72" s="42" t="s">
        <v>76</v>
      </c>
      <c r="C72" s="63"/>
    </row>
    <row r="73" spans="1:7" x14ac:dyDescent="0.3">
      <c r="A73" s="42"/>
      <c r="B73" s="42" t="s">
        <v>96</v>
      </c>
      <c r="C73" s="63"/>
    </row>
    <row r="74" spans="1:7" x14ac:dyDescent="0.3">
      <c r="A74" s="42"/>
      <c r="B74" s="42" t="s">
        <v>97</v>
      </c>
      <c r="C74" s="63"/>
    </row>
    <row r="75" spans="1:7" x14ac:dyDescent="0.3">
      <c r="A75" s="63"/>
      <c r="B75" s="63"/>
      <c r="C75" s="63"/>
    </row>
    <row r="76" spans="1:7" x14ac:dyDescent="0.3">
      <c r="A76" s="63"/>
      <c r="B76" s="42" t="s">
        <v>33</v>
      </c>
      <c r="C76" s="63"/>
    </row>
    <row r="77" spans="1:7" x14ac:dyDescent="0.3">
      <c r="A77" s="63"/>
      <c r="B77" s="42" t="s">
        <v>34</v>
      </c>
      <c r="C77" s="63"/>
    </row>
    <row r="78" spans="1:7" x14ac:dyDescent="0.3">
      <c r="A78" s="63"/>
      <c r="B78" s="63"/>
      <c r="C78" s="63"/>
    </row>
  </sheetData>
  <sheetProtection algorithmName="SHA-512" hashValue="URbqY0XA1OLtm66Hui3RWrqPM3PcRxeeOpqxsR0pkKTRL1BAuVJuOEUD6Ace1StGel5NyRX1S6bVCYcERyNM3A==" saltValue="Exwlt7m1sHpW3RGcIn3nQQ==" spinCount="100000" sheet="1" objects="1" scenarios="1"/>
  <mergeCells count="6">
    <mergeCell ref="B3:G3"/>
    <mergeCell ref="B2:G2"/>
    <mergeCell ref="C7:D7"/>
    <mergeCell ref="B5:G5"/>
    <mergeCell ref="B1:G1"/>
    <mergeCell ref="B4:G4"/>
  </mergeCells>
  <dataValidations count="4">
    <dataValidation type="list" allowBlank="1" showInputMessage="1" showErrorMessage="1" sqref="A46" xr:uid="{00000000-0002-0000-0000-000000000000}">
      <formula1>$B$72:$B$74</formula1>
    </dataValidation>
    <dataValidation type="list" allowBlank="1" showInputMessage="1" showErrorMessage="1" sqref="A56" xr:uid="{00000000-0002-0000-0000-000001000000}">
      <formula1>$B$61:$D$61</formula1>
    </dataValidation>
    <dataValidation type="list" allowBlank="1" showInputMessage="1" showErrorMessage="1" sqref="A55" xr:uid="{00000000-0002-0000-0000-000002000000}">
      <formula1>$A$62:$A$70</formula1>
    </dataValidation>
    <dataValidation type="list" allowBlank="1" showInputMessage="1" showErrorMessage="1" sqref="C58:C59 F54" xr:uid="{00000000-0002-0000-0000-000003000000}">
      <formula1>$B$76:$B$77</formula1>
    </dataValidation>
  </dataValidations>
  <pageMargins left="0.7" right="0.7" top="0.75" bottom="0.75" header="0.3" footer="0.3"/>
  <pageSetup scale="59" orientation="portrait" horizontalDpi="72" verticalDpi="72"/>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76"/>
  <sheetViews>
    <sheetView topLeftCell="A11" zoomScale="120" zoomScaleNormal="120" workbookViewId="0">
      <selection activeCell="C23" sqref="C23"/>
    </sheetView>
  </sheetViews>
  <sheetFormatPr defaultColWidth="9.109375" defaultRowHeight="14.4" x14ac:dyDescent="0.3"/>
  <cols>
    <col min="1" max="1" width="45.6640625" bestFit="1" customWidth="1"/>
    <col min="2" max="4" width="15.44140625" customWidth="1"/>
    <col min="5" max="5" width="16.109375" bestFit="1" customWidth="1"/>
    <col min="6" max="7" width="15.44140625" customWidth="1"/>
    <col min="8" max="8" width="23.6640625" customWidth="1"/>
    <col min="9" max="20" width="15.6640625" hidden="1" customWidth="1"/>
  </cols>
  <sheetData>
    <row r="1" spans="1:20" ht="64.95" customHeight="1" x14ac:dyDescent="0.3">
      <c r="B1" s="403" t="s">
        <v>98</v>
      </c>
      <c r="C1" s="395"/>
      <c r="D1" s="395"/>
      <c r="E1" s="395"/>
      <c r="F1" s="395"/>
      <c r="G1" s="395"/>
    </row>
    <row r="2" spans="1:20" ht="18" customHeight="1" x14ac:dyDescent="0.35">
      <c r="A2" s="65" t="s">
        <v>36</v>
      </c>
      <c r="B2" s="401">
        <f>'Sponsor Cost'!B2</f>
        <v>0</v>
      </c>
      <c r="C2" s="399"/>
      <c r="D2" s="399"/>
      <c r="E2" s="399"/>
      <c r="F2" s="399"/>
      <c r="G2" s="400"/>
    </row>
    <row r="3" spans="1:20" ht="32.25" customHeight="1" x14ac:dyDescent="0.3">
      <c r="A3" s="66" t="s">
        <v>37</v>
      </c>
      <c r="B3" s="398">
        <f>'Sponsor Cost'!B3:G3</f>
        <v>0</v>
      </c>
      <c r="C3" s="399"/>
      <c r="D3" s="399"/>
      <c r="E3" s="399"/>
      <c r="F3" s="399"/>
      <c r="G3" s="400"/>
    </row>
    <row r="4" spans="1:20" ht="18.75" customHeight="1" x14ac:dyDescent="0.35">
      <c r="A4" s="66" t="s">
        <v>38</v>
      </c>
      <c r="B4" s="402">
        <f>'Sponsor Cost'!B4:E4</f>
        <v>0</v>
      </c>
      <c r="C4" s="399"/>
      <c r="D4" s="399"/>
      <c r="E4" s="399"/>
      <c r="F4" s="399"/>
      <c r="G4" s="400"/>
    </row>
    <row r="5" spans="1:20" ht="18.75" customHeight="1" x14ac:dyDescent="0.35">
      <c r="A5" s="66" t="s">
        <v>39</v>
      </c>
      <c r="B5" s="402">
        <f>'Sponsor Cost'!B5:E5</f>
        <v>0</v>
      </c>
      <c r="C5" s="399"/>
      <c r="D5" s="399"/>
      <c r="E5" s="399"/>
      <c r="F5" s="399"/>
      <c r="G5" s="400"/>
    </row>
    <row r="6" spans="1:20" ht="18" customHeight="1" x14ac:dyDescent="0.35">
      <c r="A6" s="67" t="s">
        <v>40</v>
      </c>
      <c r="B6" s="328" t="s">
        <v>41</v>
      </c>
      <c r="C6" s="208">
        <f>'Sponsor Cost'!C6</f>
        <v>0</v>
      </c>
      <c r="D6" s="328" t="s">
        <v>42</v>
      </c>
      <c r="E6" s="208">
        <f>'Sponsor Cost'!E6</f>
        <v>0</v>
      </c>
      <c r="F6" s="69"/>
      <c r="G6" s="69"/>
    </row>
    <row r="7" spans="1:20" ht="18" customHeight="1" x14ac:dyDescent="0.35">
      <c r="A7" s="67" t="s">
        <v>99</v>
      </c>
      <c r="B7" s="209">
        <f>'Sponsor Cost'!C7</f>
        <v>0</v>
      </c>
    </row>
    <row r="8" spans="1:20" ht="18" customHeight="1" x14ac:dyDescent="0.35">
      <c r="A8" s="207" t="s">
        <v>100</v>
      </c>
      <c r="B8" s="329"/>
    </row>
    <row r="9" spans="1:20" ht="18" customHeight="1" x14ac:dyDescent="0.35">
      <c r="A9" s="67"/>
      <c r="I9" s="396" t="s">
        <v>45</v>
      </c>
      <c r="J9" s="397"/>
      <c r="K9" s="396" t="s">
        <v>46</v>
      </c>
      <c r="L9" s="397"/>
      <c r="M9" s="396" t="s">
        <v>47</v>
      </c>
      <c r="N9" s="397"/>
      <c r="O9" s="396" t="s">
        <v>48</v>
      </c>
      <c r="P9" s="397"/>
      <c r="Q9" s="396" t="s">
        <v>49</v>
      </c>
      <c r="R9" s="397"/>
      <c r="S9" s="396" t="s">
        <v>101</v>
      </c>
      <c r="T9" s="397"/>
    </row>
    <row r="10" spans="1:20" ht="36" customHeight="1" x14ac:dyDescent="0.35">
      <c r="A10" s="70" t="s">
        <v>44</v>
      </c>
      <c r="B10" s="330" t="s">
        <v>45</v>
      </c>
      <c r="C10" s="330" t="s">
        <v>46</v>
      </c>
      <c r="D10" s="330" t="s">
        <v>47</v>
      </c>
      <c r="E10" s="330" t="s">
        <v>48</v>
      </c>
      <c r="F10" s="330" t="s">
        <v>49</v>
      </c>
      <c r="G10" s="330" t="s">
        <v>50</v>
      </c>
      <c r="I10" s="269" t="s">
        <v>102</v>
      </c>
      <c r="J10" s="270" t="s">
        <v>103</v>
      </c>
      <c r="K10" s="269" t="s">
        <v>102</v>
      </c>
      <c r="L10" s="270" t="s">
        <v>103</v>
      </c>
      <c r="M10" s="269" t="s">
        <v>102</v>
      </c>
      <c r="N10" s="270" t="s">
        <v>103</v>
      </c>
      <c r="O10" s="269" t="s">
        <v>102</v>
      </c>
      <c r="P10" s="270" t="s">
        <v>103</v>
      </c>
      <c r="Q10" s="269" t="s">
        <v>102</v>
      </c>
      <c r="R10" s="270" t="s">
        <v>103</v>
      </c>
      <c r="S10" s="269" t="s">
        <v>102</v>
      </c>
      <c r="T10" s="270" t="s">
        <v>103</v>
      </c>
    </row>
    <row r="11" spans="1:20" ht="18" customHeight="1" x14ac:dyDescent="0.35">
      <c r="A11" s="332" t="s">
        <v>41</v>
      </c>
      <c r="B11" s="331">
        <f>C6</f>
        <v>0</v>
      </c>
      <c r="C11" s="331">
        <f>EDATE(B11,12)</f>
        <v>366</v>
      </c>
      <c r="D11" s="331">
        <f>EDATE(C11,12)</f>
        <v>731</v>
      </c>
      <c r="E11" s="331">
        <f>EDATE(D11,12)</f>
        <v>1096</v>
      </c>
      <c r="F11" s="331">
        <f>EDATE(E11,12)</f>
        <v>1461</v>
      </c>
      <c r="G11" s="74"/>
    </row>
    <row r="12" spans="1:20" ht="18" customHeight="1" x14ac:dyDescent="0.35">
      <c r="A12" s="332" t="s">
        <v>42</v>
      </c>
      <c r="B12" s="331">
        <f>C11-1</f>
        <v>365</v>
      </c>
      <c r="C12" s="331">
        <f>D11-1</f>
        <v>730</v>
      </c>
      <c r="D12" s="331">
        <f>E11-1</f>
        <v>1095</v>
      </c>
      <c r="E12" s="331">
        <f>F11-1</f>
        <v>1460</v>
      </c>
      <c r="F12" s="331">
        <f>EDATE(F11,12)-1</f>
        <v>1826</v>
      </c>
      <c r="G12" s="73"/>
    </row>
    <row r="13" spans="1:20" ht="18" customHeight="1" x14ac:dyDescent="0.35">
      <c r="A13" s="72" t="s">
        <v>51</v>
      </c>
      <c r="B13" s="75"/>
      <c r="C13" s="75"/>
      <c r="D13" s="75"/>
      <c r="E13" s="75"/>
      <c r="F13" s="75"/>
      <c r="G13" s="73"/>
    </row>
    <row r="14" spans="1:20" ht="18" customHeight="1" x14ac:dyDescent="0.35">
      <c r="A14" s="76" t="s">
        <v>104</v>
      </c>
      <c r="B14" s="77">
        <f>ROUND('Labor Detail'!B84+'Labor Detail'!T36,0)</f>
        <v>0</v>
      </c>
      <c r="C14" s="77">
        <f>ROUND('Labor Detail'!C84+'Labor Detail'!U36,0)</f>
        <v>0</v>
      </c>
      <c r="D14" s="77">
        <f>ROUND('Labor Detail'!D84+'Labor Detail'!V36,0)</f>
        <v>0</v>
      </c>
      <c r="E14" s="77">
        <f>ROUND('Labor Detail'!E84+'Labor Detail'!W36,0)</f>
        <v>0</v>
      </c>
      <c r="F14" s="77">
        <f>ROUND('Labor Detail'!F84+'Labor Detail'!X36,0)</f>
        <v>0</v>
      </c>
      <c r="G14" s="78">
        <f>SUM(B14:F14)</f>
        <v>0</v>
      </c>
    </row>
    <row r="15" spans="1:20" ht="18" customHeight="1" x14ac:dyDescent="0.35">
      <c r="A15" s="76" t="s">
        <v>53</v>
      </c>
      <c r="B15" s="77">
        <f>ROUND('Labor Detail'!B93,0)</f>
        <v>0</v>
      </c>
      <c r="C15" s="77">
        <f>ROUND('Labor Detail'!C93,0)</f>
        <v>0</v>
      </c>
      <c r="D15" s="77">
        <f>ROUND('Labor Detail'!D93,0)</f>
        <v>0</v>
      </c>
      <c r="E15" s="77">
        <f>ROUND('Labor Detail'!E93,0)</f>
        <v>0</v>
      </c>
      <c r="F15" s="77">
        <f>ROUND('Labor Detail'!F93,0)</f>
        <v>0</v>
      </c>
      <c r="G15" s="78">
        <f>SUM(B15:F15)</f>
        <v>0</v>
      </c>
    </row>
    <row r="16" spans="1:20" ht="18" customHeight="1" x14ac:dyDescent="0.35">
      <c r="A16" s="76" t="s">
        <v>54</v>
      </c>
      <c r="B16" s="77">
        <f>ROUND('Labor Detail'!B99,0)</f>
        <v>0</v>
      </c>
      <c r="C16" s="77">
        <f>ROUND('Labor Detail'!C99,0)</f>
        <v>0</v>
      </c>
      <c r="D16" s="77">
        <f>ROUND('Labor Detail'!D99,0)</f>
        <v>0</v>
      </c>
      <c r="E16" s="77">
        <f>ROUND('Labor Detail'!E99,0)</f>
        <v>0</v>
      </c>
      <c r="F16" s="77">
        <f>ROUND('Labor Detail'!F99,0)</f>
        <v>0</v>
      </c>
      <c r="G16" s="78">
        <f>SUM(B16:F16)</f>
        <v>0</v>
      </c>
    </row>
    <row r="17" spans="1:20" ht="18" customHeight="1" x14ac:dyDescent="0.35">
      <c r="A17" s="76" t="s">
        <v>55</v>
      </c>
      <c r="B17" s="77">
        <f>ROUND('Labor Detail'!B105,0)</f>
        <v>0</v>
      </c>
      <c r="C17" s="77">
        <f>ROUND('Labor Detail'!C105,0)</f>
        <v>0</v>
      </c>
      <c r="D17" s="77">
        <f>ROUND('Labor Detail'!D105,0)</f>
        <v>0</v>
      </c>
      <c r="E17" s="77">
        <f>ROUND('Labor Detail'!E105,0)</f>
        <v>0</v>
      </c>
      <c r="F17" s="77">
        <f>ROUND('Labor Detail'!F105,0)</f>
        <v>0</v>
      </c>
      <c r="G17" s="78">
        <f>SUM(B17:F17)</f>
        <v>0</v>
      </c>
    </row>
    <row r="18" spans="1:20" ht="18" customHeight="1" x14ac:dyDescent="0.35">
      <c r="A18" s="76" t="s">
        <v>105</v>
      </c>
      <c r="B18" s="77">
        <f>ROUND('Labor Detail'!B111,0)</f>
        <v>0</v>
      </c>
      <c r="C18" s="77">
        <f>ROUND('Labor Detail'!C111,0)</f>
        <v>0</v>
      </c>
      <c r="D18" s="77">
        <f>ROUND('Labor Detail'!D111,0)</f>
        <v>0</v>
      </c>
      <c r="E18" s="77">
        <f>ROUND('Labor Detail'!E111,0)</f>
        <v>0</v>
      </c>
      <c r="F18" s="77">
        <f>ROUND('Labor Detail'!F111,0)</f>
        <v>0</v>
      </c>
      <c r="G18" s="78">
        <f>SUM(B18:F18)</f>
        <v>0</v>
      </c>
    </row>
    <row r="19" spans="1:20" ht="18.600000000000001" customHeight="1" thickBot="1" x14ac:dyDescent="0.4">
      <c r="A19" s="155" t="s">
        <v>57</v>
      </c>
      <c r="B19" s="156">
        <f t="shared" ref="B19:G19" si="0">ROUND(SUM(B14:B18),0)</f>
        <v>0</v>
      </c>
      <c r="C19" s="156">
        <f t="shared" si="0"/>
        <v>0</v>
      </c>
      <c r="D19" s="156">
        <f t="shared" si="0"/>
        <v>0</v>
      </c>
      <c r="E19" s="156">
        <f t="shared" si="0"/>
        <v>0</v>
      </c>
      <c r="F19" s="156">
        <f t="shared" si="0"/>
        <v>0</v>
      </c>
      <c r="G19" s="156">
        <f t="shared" si="0"/>
        <v>0</v>
      </c>
      <c r="H19" s="260" t="s">
        <v>106</v>
      </c>
      <c r="I19" s="271">
        <f>IF($H19="Voluntary Uncommitted",B19,0)</f>
        <v>0</v>
      </c>
      <c r="J19" s="49">
        <f>B19-I19</f>
        <v>0</v>
      </c>
      <c r="K19" s="271">
        <f>IF($H19="Voluntary Uncommitted",C19,0)</f>
        <v>0</v>
      </c>
      <c r="L19" s="49">
        <f>C19-K19</f>
        <v>0</v>
      </c>
      <c r="M19" s="271">
        <f>IF($H19="Voluntary Uncommitted",D19,0)</f>
        <v>0</v>
      </c>
      <c r="N19" s="49">
        <f>D19-M19</f>
        <v>0</v>
      </c>
      <c r="O19" s="271">
        <f>IF($H19="Voluntary Uncommitted",E19,0)</f>
        <v>0</v>
      </c>
      <c r="P19" s="49">
        <f>E19-O19</f>
        <v>0</v>
      </c>
      <c r="Q19" s="271">
        <f>IF($H19="Voluntary Uncommitted",F19,0)</f>
        <v>0</v>
      </c>
      <c r="R19" s="49">
        <f>F19-Q19</f>
        <v>0</v>
      </c>
      <c r="S19" s="49">
        <f>Q19+O19+M19+K19+I19</f>
        <v>0</v>
      </c>
      <c r="T19" s="49">
        <f>R19+P19+N19+L19+J19</f>
        <v>0</v>
      </c>
    </row>
    <row r="20" spans="1:20" ht="18.600000000000001" customHeight="1" thickTop="1" x14ac:dyDescent="0.35">
      <c r="A20" s="72"/>
      <c r="B20" s="78"/>
      <c r="C20" s="78"/>
      <c r="D20" s="78"/>
      <c r="E20" s="78"/>
      <c r="F20" s="78"/>
      <c r="G20" s="78"/>
    </row>
    <row r="21" spans="1:20" ht="18" customHeight="1" x14ac:dyDescent="0.35">
      <c r="A21" s="65" t="s">
        <v>58</v>
      </c>
      <c r="B21" s="77"/>
      <c r="C21" s="77"/>
      <c r="D21" s="77"/>
      <c r="E21" s="77"/>
      <c r="F21" s="77"/>
      <c r="G21" s="78"/>
    </row>
    <row r="22" spans="1:20" ht="18" customHeight="1" x14ac:dyDescent="0.35">
      <c r="A22" s="76" t="s">
        <v>104</v>
      </c>
      <c r="B22" s="77">
        <f>ROUND('Labor Detail'!H84+'Labor Detail'!Z36,0)</f>
        <v>0</v>
      </c>
      <c r="C22" s="77">
        <f>ROUND('Labor Detail'!I84+'Labor Detail'!AA36,0)</f>
        <v>0</v>
      </c>
      <c r="D22" s="77">
        <f>ROUND('Labor Detail'!J84+'Labor Detail'!AB36,0)</f>
        <v>0</v>
      </c>
      <c r="E22" s="77">
        <f>ROUND('Labor Detail'!K84+'Labor Detail'!AC36,0)</f>
        <v>0</v>
      </c>
      <c r="F22" s="77">
        <f>ROUND('Labor Detail'!L84+'Labor Detail'!AD36,0)</f>
        <v>0</v>
      </c>
      <c r="G22" s="78">
        <f>ROUND(SUM(B22:F22),0)</f>
        <v>0</v>
      </c>
    </row>
    <row r="23" spans="1:20" ht="18" customHeight="1" x14ac:dyDescent="0.35">
      <c r="A23" s="76" t="s">
        <v>53</v>
      </c>
      <c r="B23" s="77">
        <f>ROUND('Labor Detail'!H93,0)</f>
        <v>0</v>
      </c>
      <c r="C23" s="77">
        <f>ROUND('Labor Detail'!I93,0)</f>
        <v>0</v>
      </c>
      <c r="D23" s="77">
        <f>ROUND('Labor Detail'!J93,0)</f>
        <v>0</v>
      </c>
      <c r="E23" s="77">
        <f>ROUND('Labor Detail'!K93,0)</f>
        <v>0</v>
      </c>
      <c r="F23" s="77">
        <f>ROUND('Labor Detail'!L93,0)</f>
        <v>0</v>
      </c>
      <c r="G23" s="78">
        <f>ROUND(SUM(B23:F23),0)</f>
        <v>0</v>
      </c>
    </row>
    <row r="24" spans="1:20" ht="18" customHeight="1" x14ac:dyDescent="0.35">
      <c r="A24" s="76" t="s">
        <v>54</v>
      </c>
      <c r="B24" s="77">
        <f>ROUND('Labor Detail'!H99,0)</f>
        <v>0</v>
      </c>
      <c r="C24" s="77">
        <f>ROUND('Labor Detail'!I99,0)</f>
        <v>0</v>
      </c>
      <c r="D24" s="77">
        <f>ROUND('Labor Detail'!J99,0)</f>
        <v>0</v>
      </c>
      <c r="E24" s="77">
        <f>ROUND('Labor Detail'!K99,0)</f>
        <v>0</v>
      </c>
      <c r="F24" s="77">
        <f>ROUND('Labor Detail'!L99,0)</f>
        <v>0</v>
      </c>
      <c r="G24" s="78">
        <f>SUM(B24:F24)</f>
        <v>0</v>
      </c>
    </row>
    <row r="25" spans="1:20" ht="18" customHeight="1" x14ac:dyDescent="0.35">
      <c r="A25" s="76" t="s">
        <v>59</v>
      </c>
      <c r="B25" s="77">
        <f>ROUND('Labor Detail'!H105,0)</f>
        <v>0</v>
      </c>
      <c r="C25" s="77">
        <f>ROUND('Labor Detail'!I105,0)</f>
        <v>0</v>
      </c>
      <c r="D25" s="77">
        <f>ROUND('Labor Detail'!J105,0)</f>
        <v>0</v>
      </c>
      <c r="E25" s="77">
        <f>ROUND('Labor Detail'!K105,0)</f>
        <v>0</v>
      </c>
      <c r="F25" s="77">
        <f>ROUND('Labor Detail'!L105,0)</f>
        <v>0</v>
      </c>
      <c r="G25" s="78">
        <f>SUM(B25:F25)</f>
        <v>0</v>
      </c>
    </row>
    <row r="26" spans="1:20" ht="18" customHeight="1" x14ac:dyDescent="0.35">
      <c r="A26" s="76" t="s">
        <v>105</v>
      </c>
      <c r="B26" s="77">
        <f>ROUND('Labor Detail'!H111,0)</f>
        <v>0</v>
      </c>
      <c r="C26" s="77">
        <f>ROUND('Labor Detail'!I111,0)</f>
        <v>0</v>
      </c>
      <c r="D26" s="77">
        <f>ROUND('Labor Detail'!J111,0)</f>
        <v>0</v>
      </c>
      <c r="E26" s="77">
        <f>ROUND('Labor Detail'!K111,0)</f>
        <v>0</v>
      </c>
      <c r="F26" s="77">
        <f>ROUND('Labor Detail'!L111,0)</f>
        <v>0</v>
      </c>
      <c r="G26" s="78">
        <f>SUM(B26:F26)</f>
        <v>0</v>
      </c>
    </row>
    <row r="27" spans="1:20" ht="18.600000000000001" customHeight="1" thickBot="1" x14ac:dyDescent="0.4">
      <c r="A27" s="155" t="s">
        <v>60</v>
      </c>
      <c r="B27" s="156">
        <f t="shared" ref="B27:G27" si="1">ROUND(SUM(B22:B26),0)</f>
        <v>0</v>
      </c>
      <c r="C27" s="156">
        <f t="shared" si="1"/>
        <v>0</v>
      </c>
      <c r="D27" s="156">
        <f t="shared" si="1"/>
        <v>0</v>
      </c>
      <c r="E27" s="156">
        <f t="shared" si="1"/>
        <v>0</v>
      </c>
      <c r="F27" s="156">
        <f t="shared" si="1"/>
        <v>0</v>
      </c>
      <c r="G27" s="156">
        <f t="shared" si="1"/>
        <v>0</v>
      </c>
      <c r="H27" s="260" t="s">
        <v>106</v>
      </c>
      <c r="I27" s="271">
        <f>IF($H27="Voluntary Uncommitted",B27,0)</f>
        <v>0</v>
      </c>
      <c r="J27" s="49">
        <f>B27-I27</f>
        <v>0</v>
      </c>
      <c r="K27" s="271">
        <f>IF($H27="Voluntary Uncommitted",C27,0)</f>
        <v>0</v>
      </c>
      <c r="L27" s="49">
        <f>C27-K27</f>
        <v>0</v>
      </c>
      <c r="M27" s="271">
        <f>IF($H27="Voluntary Uncommitted",D27,0)</f>
        <v>0</v>
      </c>
      <c r="N27" s="49">
        <f>D27-M27</f>
        <v>0</v>
      </c>
      <c r="O27" s="271">
        <f>IF($H27="Voluntary Uncommitted",E27,0)</f>
        <v>0</v>
      </c>
      <c r="P27" s="49">
        <f>E27-O27</f>
        <v>0</v>
      </c>
      <c r="Q27" s="271">
        <f>IF($H27="Voluntary Uncommitted",F27,0)</f>
        <v>0</v>
      </c>
      <c r="R27" s="49">
        <f>F27-Q27</f>
        <v>0</v>
      </c>
      <c r="S27" s="49">
        <f>Q27+O27+M27+K27+I27</f>
        <v>0</v>
      </c>
      <c r="T27" s="49">
        <f>R27+P27+N27+L27+J27</f>
        <v>0</v>
      </c>
    </row>
    <row r="28" spans="1:20" ht="12" customHeight="1" thickTop="1" x14ac:dyDescent="0.35">
      <c r="A28" s="72"/>
      <c r="B28" s="78"/>
      <c r="C28" s="78"/>
      <c r="D28" s="78"/>
      <c r="E28" s="78"/>
      <c r="F28" s="78"/>
      <c r="G28" s="78"/>
    </row>
    <row r="29" spans="1:20" ht="18" customHeight="1" x14ac:dyDescent="0.35">
      <c r="A29" s="72" t="s">
        <v>61</v>
      </c>
      <c r="B29" s="77"/>
      <c r="C29" s="77"/>
      <c r="D29" s="77"/>
      <c r="E29" s="77"/>
      <c r="F29" s="77"/>
      <c r="G29" s="78"/>
    </row>
    <row r="30" spans="1:20" ht="18" customHeight="1" x14ac:dyDescent="0.35">
      <c r="A30" s="81" t="s">
        <v>62</v>
      </c>
      <c r="B30" s="82">
        <f>ROUND(Equipment!D40,0)</f>
        <v>0</v>
      </c>
      <c r="C30" s="82">
        <f>ROUND(Equipment!E40,0)</f>
        <v>0</v>
      </c>
      <c r="D30" s="82">
        <f>ROUND(Equipment!F40,0)</f>
        <v>0</v>
      </c>
      <c r="E30" s="82">
        <f>ROUND(Equipment!G40,0)</f>
        <v>0</v>
      </c>
      <c r="F30" s="82">
        <f>ROUND(Equipment!H40,0)</f>
        <v>0</v>
      </c>
      <c r="G30" s="78">
        <f t="shared" ref="G30:G37" si="2">ROUND(SUM(B30:F30),0)</f>
        <v>0</v>
      </c>
      <c r="H30" s="260"/>
      <c r="I30" s="271">
        <f t="shared" ref="I30:I37" si="3">IF($H30="Voluntary Uncommitted",B30,0)</f>
        <v>0</v>
      </c>
      <c r="J30" s="49">
        <f t="shared" ref="J30:J37" si="4">B30-I30</f>
        <v>0</v>
      </c>
      <c r="K30" s="271">
        <f t="shared" ref="K30:K37" si="5">IF($H30="Voluntary Uncommitted",C30,0)</f>
        <v>0</v>
      </c>
      <c r="L30" s="49">
        <f t="shared" ref="L30:L37" si="6">C30-K30</f>
        <v>0</v>
      </c>
      <c r="M30" s="271">
        <f t="shared" ref="M30:M37" si="7">IF($H30="Voluntary Uncommitted",D30,0)</f>
        <v>0</v>
      </c>
      <c r="N30" s="49">
        <f t="shared" ref="N30:N37" si="8">D30-M30</f>
        <v>0</v>
      </c>
      <c r="O30" s="271">
        <f t="shared" ref="O30:O37" si="9">IF($H30="Voluntary Uncommitted",E30,0)</f>
        <v>0</v>
      </c>
      <c r="P30" s="49">
        <f t="shared" ref="P30:P37" si="10">E30-O30</f>
        <v>0</v>
      </c>
      <c r="Q30" s="271">
        <f t="shared" ref="Q30:Q37" si="11">IF($H30="Voluntary Uncommitted",F30,0)</f>
        <v>0</v>
      </c>
      <c r="R30" s="49">
        <f t="shared" ref="R30:R37" si="12">F30-Q30</f>
        <v>0</v>
      </c>
      <c r="S30" s="49">
        <f t="shared" ref="S30:T37" si="13">Q30+O30+M30+K30+I30</f>
        <v>0</v>
      </c>
      <c r="T30" s="49">
        <f t="shared" si="13"/>
        <v>0</v>
      </c>
    </row>
    <row r="31" spans="1:20" ht="18" customHeight="1" x14ac:dyDescent="0.35">
      <c r="A31" s="81" t="s">
        <v>63</v>
      </c>
      <c r="B31" s="82">
        <f>ROUND(Travel!E19,0)</f>
        <v>0</v>
      </c>
      <c r="C31" s="82">
        <f>ROUND(Travel!F19,0)</f>
        <v>0</v>
      </c>
      <c r="D31" s="82">
        <f>ROUND(Travel!G19,0)</f>
        <v>0</v>
      </c>
      <c r="E31" s="82">
        <f>ROUND(Travel!H19,0)</f>
        <v>0</v>
      </c>
      <c r="F31" s="82">
        <f>ROUND(Travel!I19,0)</f>
        <v>0</v>
      </c>
      <c r="G31" s="78">
        <f t="shared" si="2"/>
        <v>0</v>
      </c>
      <c r="H31" s="260"/>
      <c r="I31" s="271">
        <f t="shared" si="3"/>
        <v>0</v>
      </c>
      <c r="J31" s="49">
        <f t="shared" si="4"/>
        <v>0</v>
      </c>
      <c r="K31" s="271">
        <f t="shared" si="5"/>
        <v>0</v>
      </c>
      <c r="L31" s="49">
        <f t="shared" si="6"/>
        <v>0</v>
      </c>
      <c r="M31" s="271">
        <f t="shared" si="7"/>
        <v>0</v>
      </c>
      <c r="N31" s="49">
        <f t="shared" si="8"/>
        <v>0</v>
      </c>
      <c r="O31" s="271">
        <f t="shared" si="9"/>
        <v>0</v>
      </c>
      <c r="P31" s="49">
        <f t="shared" si="10"/>
        <v>0</v>
      </c>
      <c r="Q31" s="271">
        <f t="shared" si="11"/>
        <v>0</v>
      </c>
      <c r="R31" s="49">
        <f t="shared" si="12"/>
        <v>0</v>
      </c>
      <c r="S31" s="49">
        <f t="shared" si="13"/>
        <v>0</v>
      </c>
      <c r="T31" s="49">
        <f t="shared" si="13"/>
        <v>0</v>
      </c>
    </row>
    <row r="32" spans="1:20" ht="18" customHeight="1" x14ac:dyDescent="0.35">
      <c r="A32" s="76" t="s">
        <v>65</v>
      </c>
      <c r="B32" s="82">
        <f>ROUND(Honorarium!D40,0)</f>
        <v>0</v>
      </c>
      <c r="C32" s="82">
        <f>ROUND(Honorarium!E40,0)</f>
        <v>0</v>
      </c>
      <c r="D32" s="82">
        <f>ROUND(Honorarium!F40,0)</f>
        <v>0</v>
      </c>
      <c r="E32" s="82">
        <f>ROUND(Honorarium!G40,0)</f>
        <v>0</v>
      </c>
      <c r="F32" s="82">
        <f>ROUND(Honorarium!H40,0)</f>
        <v>0</v>
      </c>
      <c r="G32" s="78">
        <f t="shared" si="2"/>
        <v>0</v>
      </c>
      <c r="H32" s="260"/>
      <c r="I32" s="271">
        <f t="shared" si="3"/>
        <v>0</v>
      </c>
      <c r="J32" s="49">
        <f t="shared" si="4"/>
        <v>0</v>
      </c>
      <c r="K32" s="271">
        <f t="shared" si="5"/>
        <v>0</v>
      </c>
      <c r="L32" s="49">
        <f t="shared" si="6"/>
        <v>0</v>
      </c>
      <c r="M32" s="271">
        <f t="shared" si="7"/>
        <v>0</v>
      </c>
      <c r="N32" s="49">
        <f t="shared" si="8"/>
        <v>0</v>
      </c>
      <c r="O32" s="271">
        <f t="shared" si="9"/>
        <v>0</v>
      </c>
      <c r="P32" s="49">
        <f t="shared" si="10"/>
        <v>0</v>
      </c>
      <c r="Q32" s="271">
        <f t="shared" si="11"/>
        <v>0</v>
      </c>
      <c r="R32" s="49">
        <f t="shared" si="12"/>
        <v>0</v>
      </c>
      <c r="S32" s="49">
        <f t="shared" si="13"/>
        <v>0</v>
      </c>
      <c r="T32" s="49">
        <f t="shared" si="13"/>
        <v>0</v>
      </c>
    </row>
    <row r="33" spans="1:20" ht="18" customHeight="1" x14ac:dyDescent="0.35">
      <c r="A33" s="76" t="s">
        <v>66</v>
      </c>
      <c r="B33" s="82">
        <f>ROUND(Materials!D40,0)</f>
        <v>0</v>
      </c>
      <c r="C33" s="82">
        <f>ROUND(Materials!E40,0)</f>
        <v>0</v>
      </c>
      <c r="D33" s="82">
        <f>ROUND(Materials!F40,0)</f>
        <v>0</v>
      </c>
      <c r="E33" s="82">
        <f>ROUND(Materials!G40,0)</f>
        <v>0</v>
      </c>
      <c r="F33" s="82">
        <f>ROUND(Materials!H40,0)</f>
        <v>0</v>
      </c>
      <c r="G33" s="78">
        <f t="shared" si="2"/>
        <v>0</v>
      </c>
      <c r="H33" s="260"/>
      <c r="I33" s="271">
        <f t="shared" si="3"/>
        <v>0</v>
      </c>
      <c r="J33" s="49">
        <f t="shared" si="4"/>
        <v>0</v>
      </c>
      <c r="K33" s="271">
        <f t="shared" si="5"/>
        <v>0</v>
      </c>
      <c r="L33" s="49">
        <f t="shared" si="6"/>
        <v>0</v>
      </c>
      <c r="M33" s="271">
        <f t="shared" si="7"/>
        <v>0</v>
      </c>
      <c r="N33" s="49">
        <f t="shared" si="8"/>
        <v>0</v>
      </c>
      <c r="O33" s="271">
        <f t="shared" si="9"/>
        <v>0</v>
      </c>
      <c r="P33" s="49">
        <f t="shared" si="10"/>
        <v>0</v>
      </c>
      <c r="Q33" s="271">
        <f t="shared" si="11"/>
        <v>0</v>
      </c>
      <c r="R33" s="49">
        <f t="shared" si="12"/>
        <v>0</v>
      </c>
      <c r="S33" s="49">
        <f t="shared" si="13"/>
        <v>0</v>
      </c>
      <c r="T33" s="49">
        <f t="shared" si="13"/>
        <v>0</v>
      </c>
    </row>
    <row r="34" spans="1:20" ht="18" customHeight="1" x14ac:dyDescent="0.35">
      <c r="A34" s="76" t="s">
        <v>107</v>
      </c>
      <c r="B34" s="82">
        <f>ROUND(Services_Consulting!D40,0)</f>
        <v>0</v>
      </c>
      <c r="C34" s="82">
        <f>ROUND(Services_Consulting!E40,0)</f>
        <v>0</v>
      </c>
      <c r="D34" s="82">
        <f>ROUND(Services_Consulting!F40,0)</f>
        <v>0</v>
      </c>
      <c r="E34" s="82">
        <f>ROUND(Services_Consulting!G40,0)</f>
        <v>0</v>
      </c>
      <c r="F34" s="82">
        <f>ROUND(Services_Consulting!H40,0)</f>
        <v>0</v>
      </c>
      <c r="G34" s="78">
        <f t="shared" si="2"/>
        <v>0</v>
      </c>
      <c r="H34" s="260"/>
      <c r="I34" s="271">
        <f t="shared" si="3"/>
        <v>0</v>
      </c>
      <c r="J34" s="49">
        <f t="shared" si="4"/>
        <v>0</v>
      </c>
      <c r="K34" s="271">
        <f t="shared" si="5"/>
        <v>0</v>
      </c>
      <c r="L34" s="49">
        <f t="shared" si="6"/>
        <v>0</v>
      </c>
      <c r="M34" s="271">
        <f t="shared" si="7"/>
        <v>0</v>
      </c>
      <c r="N34" s="49">
        <f t="shared" si="8"/>
        <v>0</v>
      </c>
      <c r="O34" s="271">
        <f t="shared" si="9"/>
        <v>0</v>
      </c>
      <c r="P34" s="49">
        <f t="shared" si="10"/>
        <v>0</v>
      </c>
      <c r="Q34" s="271">
        <f t="shared" si="11"/>
        <v>0</v>
      </c>
      <c r="R34" s="49">
        <f t="shared" si="12"/>
        <v>0</v>
      </c>
      <c r="S34" s="49">
        <f t="shared" si="13"/>
        <v>0</v>
      </c>
      <c r="T34" s="49">
        <f t="shared" si="13"/>
        <v>0</v>
      </c>
    </row>
    <row r="35" spans="1:20" ht="18" customHeight="1" x14ac:dyDescent="0.35">
      <c r="A35" s="76" t="s">
        <v>68</v>
      </c>
      <c r="B35" s="82">
        <f>ROUND(Services_Consulting!D40,0)</f>
        <v>0</v>
      </c>
      <c r="C35" s="82">
        <f>ROUND(Services_Consulting!E40,0)</f>
        <v>0</v>
      </c>
      <c r="D35" s="82">
        <f>ROUND(Services_Consulting!F40,0)</f>
        <v>0</v>
      </c>
      <c r="E35" s="82">
        <f>ROUND(Services_Consulting!G40,0)</f>
        <v>0</v>
      </c>
      <c r="F35" s="82">
        <f>ROUND(Services_Consulting!H40,0)</f>
        <v>0</v>
      </c>
      <c r="G35" s="78">
        <f t="shared" si="2"/>
        <v>0</v>
      </c>
      <c r="H35" s="260"/>
      <c r="I35" s="271">
        <f t="shared" si="3"/>
        <v>0</v>
      </c>
      <c r="J35" s="49">
        <f t="shared" si="4"/>
        <v>0</v>
      </c>
      <c r="K35" s="271">
        <f t="shared" si="5"/>
        <v>0</v>
      </c>
      <c r="L35" s="49">
        <f t="shared" si="6"/>
        <v>0</v>
      </c>
      <c r="M35" s="271">
        <f t="shared" si="7"/>
        <v>0</v>
      </c>
      <c r="N35" s="49">
        <f t="shared" si="8"/>
        <v>0</v>
      </c>
      <c r="O35" s="271">
        <f t="shared" si="9"/>
        <v>0</v>
      </c>
      <c r="P35" s="49">
        <f t="shared" si="10"/>
        <v>0</v>
      </c>
      <c r="Q35" s="271">
        <f t="shared" si="11"/>
        <v>0</v>
      </c>
      <c r="R35" s="49">
        <f t="shared" si="12"/>
        <v>0</v>
      </c>
      <c r="S35" s="49">
        <f t="shared" si="13"/>
        <v>0</v>
      </c>
      <c r="T35" s="49">
        <f t="shared" si="13"/>
        <v>0</v>
      </c>
    </row>
    <row r="36" spans="1:20" ht="18" customHeight="1" x14ac:dyDescent="0.35">
      <c r="A36" s="76" t="s">
        <v>69</v>
      </c>
      <c r="B36" s="82">
        <f>ROUND('Participant Costs'!D40,0)</f>
        <v>0</v>
      </c>
      <c r="C36" s="82">
        <f>ROUND('Participant Costs'!E40,0)</f>
        <v>0</v>
      </c>
      <c r="D36" s="82">
        <f>ROUND('Participant Costs'!F40,0)</f>
        <v>0</v>
      </c>
      <c r="E36" s="82">
        <f>ROUND('Participant Costs'!G40,0)</f>
        <v>0</v>
      </c>
      <c r="F36" s="82">
        <f>ROUND('Participant Costs'!H40,0)</f>
        <v>0</v>
      </c>
      <c r="G36" s="78">
        <f t="shared" si="2"/>
        <v>0</v>
      </c>
      <c r="H36" s="260"/>
      <c r="I36" s="271">
        <f t="shared" si="3"/>
        <v>0</v>
      </c>
      <c r="J36" s="49">
        <f t="shared" si="4"/>
        <v>0</v>
      </c>
      <c r="K36" s="271">
        <f t="shared" si="5"/>
        <v>0</v>
      </c>
      <c r="L36" s="49">
        <f t="shared" si="6"/>
        <v>0</v>
      </c>
      <c r="M36" s="271">
        <f t="shared" si="7"/>
        <v>0</v>
      </c>
      <c r="N36" s="49">
        <f t="shared" si="8"/>
        <v>0</v>
      </c>
      <c r="O36" s="271">
        <f t="shared" si="9"/>
        <v>0</v>
      </c>
      <c r="P36" s="49">
        <f t="shared" si="10"/>
        <v>0</v>
      </c>
      <c r="Q36" s="271">
        <f t="shared" si="11"/>
        <v>0</v>
      </c>
      <c r="R36" s="49">
        <f t="shared" si="12"/>
        <v>0</v>
      </c>
      <c r="S36" s="49">
        <f t="shared" si="13"/>
        <v>0</v>
      </c>
      <c r="T36" s="49">
        <f t="shared" si="13"/>
        <v>0</v>
      </c>
    </row>
    <row r="37" spans="1:20" ht="18" customHeight="1" x14ac:dyDescent="0.35">
      <c r="A37" s="83" t="s">
        <v>61</v>
      </c>
      <c r="B37" s="108">
        <f>'Other DC'!D40</f>
        <v>0</v>
      </c>
      <c r="C37" s="108">
        <f>'Other DC'!E40</f>
        <v>0</v>
      </c>
      <c r="D37" s="108">
        <f>'Other DC'!F40</f>
        <v>0</v>
      </c>
      <c r="E37" s="108">
        <f>'Other DC'!G40</f>
        <v>0</v>
      </c>
      <c r="F37" s="108">
        <f>'Other DC'!H40</f>
        <v>0</v>
      </c>
      <c r="G37" s="78">
        <f t="shared" si="2"/>
        <v>0</v>
      </c>
      <c r="H37" s="260" t="s">
        <v>106</v>
      </c>
      <c r="I37" s="271">
        <f t="shared" si="3"/>
        <v>0</v>
      </c>
      <c r="J37" s="49">
        <f t="shared" si="4"/>
        <v>0</v>
      </c>
      <c r="K37" s="271">
        <f t="shared" si="5"/>
        <v>0</v>
      </c>
      <c r="L37" s="49">
        <f t="shared" si="6"/>
        <v>0</v>
      </c>
      <c r="M37" s="271">
        <f t="shared" si="7"/>
        <v>0</v>
      </c>
      <c r="N37" s="49">
        <f t="shared" si="8"/>
        <v>0</v>
      </c>
      <c r="O37" s="271">
        <f t="shared" si="9"/>
        <v>0</v>
      </c>
      <c r="P37" s="49">
        <f t="shared" si="10"/>
        <v>0</v>
      </c>
      <c r="Q37" s="271">
        <f t="shared" si="11"/>
        <v>0</v>
      </c>
      <c r="R37" s="49">
        <f t="shared" si="12"/>
        <v>0</v>
      </c>
      <c r="S37" s="49">
        <f t="shared" si="13"/>
        <v>0</v>
      </c>
      <c r="T37" s="49">
        <f t="shared" si="13"/>
        <v>0</v>
      </c>
    </row>
    <row r="38" spans="1:20" ht="18" customHeight="1" x14ac:dyDescent="0.35">
      <c r="A38" s="157" t="s">
        <v>70</v>
      </c>
      <c r="B38" s="158">
        <f t="shared" ref="B38:G38" si="14">ROUND(SUM(B30:B37),0)</f>
        <v>0</v>
      </c>
      <c r="C38" s="158">
        <f t="shared" si="14"/>
        <v>0</v>
      </c>
      <c r="D38" s="158">
        <f t="shared" si="14"/>
        <v>0</v>
      </c>
      <c r="E38" s="158">
        <f t="shared" si="14"/>
        <v>0</v>
      </c>
      <c r="F38" s="158">
        <f t="shared" si="14"/>
        <v>0</v>
      </c>
      <c r="G38" s="158">
        <f t="shared" si="14"/>
        <v>0</v>
      </c>
      <c r="I38" s="158">
        <f t="shared" ref="I38:T38" si="15">ROUND(SUM(I30:I37),0)</f>
        <v>0</v>
      </c>
      <c r="J38" s="158">
        <f t="shared" si="15"/>
        <v>0</v>
      </c>
      <c r="K38" s="158">
        <f t="shared" si="15"/>
        <v>0</v>
      </c>
      <c r="L38" s="158">
        <f t="shared" si="15"/>
        <v>0</v>
      </c>
      <c r="M38" s="158">
        <f t="shared" si="15"/>
        <v>0</v>
      </c>
      <c r="N38" s="158">
        <f t="shared" si="15"/>
        <v>0</v>
      </c>
      <c r="O38" s="158">
        <f t="shared" si="15"/>
        <v>0</v>
      </c>
      <c r="P38" s="158">
        <f t="shared" si="15"/>
        <v>0</v>
      </c>
      <c r="Q38" s="158">
        <f t="shared" si="15"/>
        <v>0</v>
      </c>
      <c r="R38" s="158">
        <f t="shared" si="15"/>
        <v>0</v>
      </c>
      <c r="S38" s="158">
        <f t="shared" si="15"/>
        <v>0</v>
      </c>
      <c r="T38" s="158">
        <f t="shared" si="15"/>
        <v>0</v>
      </c>
    </row>
    <row r="39" spans="1:20" ht="18.600000000000001" customHeight="1" thickBot="1" x14ac:dyDescent="0.4">
      <c r="A39" s="164" t="s">
        <v>71</v>
      </c>
      <c r="B39" s="159">
        <f t="shared" ref="B39:G39" si="16">ROUND(B38+B27+B19,0)</f>
        <v>0</v>
      </c>
      <c r="C39" s="159">
        <f t="shared" si="16"/>
        <v>0</v>
      </c>
      <c r="D39" s="159">
        <f t="shared" si="16"/>
        <v>0</v>
      </c>
      <c r="E39" s="159">
        <f t="shared" si="16"/>
        <v>0</v>
      </c>
      <c r="F39" s="159">
        <f t="shared" si="16"/>
        <v>0</v>
      </c>
      <c r="G39" s="159">
        <f t="shared" si="16"/>
        <v>0</v>
      </c>
      <c r="I39" s="159">
        <f t="shared" ref="I39:T39" si="17">ROUND(I38+I27+I19,0)</f>
        <v>0</v>
      </c>
      <c r="J39" s="159">
        <f t="shared" si="17"/>
        <v>0</v>
      </c>
      <c r="K39" s="159">
        <f t="shared" si="17"/>
        <v>0</v>
      </c>
      <c r="L39" s="159">
        <f t="shared" si="17"/>
        <v>0</v>
      </c>
      <c r="M39" s="159">
        <f t="shared" si="17"/>
        <v>0</v>
      </c>
      <c r="N39" s="159">
        <f t="shared" si="17"/>
        <v>0</v>
      </c>
      <c r="O39" s="159">
        <f t="shared" si="17"/>
        <v>0</v>
      </c>
      <c r="P39" s="159">
        <f t="shared" si="17"/>
        <v>0</v>
      </c>
      <c r="Q39" s="159">
        <f t="shared" si="17"/>
        <v>0</v>
      </c>
      <c r="R39" s="159">
        <f t="shared" si="17"/>
        <v>0</v>
      </c>
      <c r="S39" s="159">
        <f t="shared" si="17"/>
        <v>0</v>
      </c>
      <c r="T39" s="159">
        <f t="shared" si="17"/>
        <v>0</v>
      </c>
    </row>
    <row r="40" spans="1:20" ht="18.600000000000001" customHeight="1" thickTop="1" x14ac:dyDescent="0.35">
      <c r="A40" s="87" t="s">
        <v>108</v>
      </c>
      <c r="B40" s="77">
        <v>0</v>
      </c>
      <c r="C40" s="77">
        <v>0</v>
      </c>
      <c r="D40" s="77">
        <v>0</v>
      </c>
      <c r="E40" s="77">
        <v>0</v>
      </c>
      <c r="F40" s="77">
        <v>0</v>
      </c>
      <c r="G40" s="78">
        <f>SUM(B40:F40)</f>
        <v>0</v>
      </c>
    </row>
    <row r="41" spans="1:20" ht="18" customHeight="1" x14ac:dyDescent="0.35">
      <c r="A41" s="87" t="s">
        <v>73</v>
      </c>
      <c r="B41" s="77">
        <v>0</v>
      </c>
      <c r="C41" s="77">
        <v>0</v>
      </c>
      <c r="D41" s="77">
        <v>0</v>
      </c>
      <c r="E41" s="77">
        <v>0</v>
      </c>
      <c r="F41" s="77">
        <v>0</v>
      </c>
      <c r="G41" s="78">
        <f>SUM(B41:F41)</f>
        <v>0</v>
      </c>
    </row>
    <row r="42" spans="1:20" ht="18" customHeight="1" x14ac:dyDescent="0.35">
      <c r="A42" s="157" t="s">
        <v>74</v>
      </c>
      <c r="B42" s="158">
        <f t="shared" ref="B42:G42" si="18">SUM(B40:B41)</f>
        <v>0</v>
      </c>
      <c r="C42" s="158">
        <f t="shared" si="18"/>
        <v>0</v>
      </c>
      <c r="D42" s="158">
        <f t="shared" si="18"/>
        <v>0</v>
      </c>
      <c r="E42" s="158">
        <f t="shared" si="18"/>
        <v>0</v>
      </c>
      <c r="F42" s="158">
        <f t="shared" si="18"/>
        <v>0</v>
      </c>
      <c r="G42" s="158">
        <f t="shared" si="18"/>
        <v>0</v>
      </c>
    </row>
    <row r="43" spans="1:20" ht="18" customHeight="1" x14ac:dyDescent="0.35">
      <c r="A43" s="72"/>
      <c r="B43" s="78"/>
      <c r="C43" s="78"/>
      <c r="D43" s="78"/>
      <c r="E43" s="78"/>
      <c r="F43" s="78"/>
      <c r="G43" s="78"/>
    </row>
    <row r="44" spans="1:20" ht="18.600000000000001" customHeight="1" thickBot="1" x14ac:dyDescent="0.4">
      <c r="A44" s="160" t="s">
        <v>75</v>
      </c>
      <c r="B44" s="159">
        <f t="shared" ref="B44:G44" si="19">ROUND(B39+B42,0)</f>
        <v>0</v>
      </c>
      <c r="C44" s="159">
        <f t="shared" si="19"/>
        <v>0</v>
      </c>
      <c r="D44" s="159">
        <f t="shared" si="19"/>
        <v>0</v>
      </c>
      <c r="E44" s="159">
        <f t="shared" si="19"/>
        <v>0</v>
      </c>
      <c r="F44" s="159">
        <f t="shared" si="19"/>
        <v>0</v>
      </c>
      <c r="G44" s="159">
        <f t="shared" si="19"/>
        <v>0</v>
      </c>
      <c r="H44" s="24"/>
      <c r="I44" s="159">
        <f t="shared" ref="I44:T44" si="20">ROUND(I39+I42,0)</f>
        <v>0</v>
      </c>
      <c r="J44" s="159">
        <f t="shared" si="20"/>
        <v>0</v>
      </c>
      <c r="K44" s="159">
        <f t="shared" si="20"/>
        <v>0</v>
      </c>
      <c r="L44" s="159">
        <f t="shared" si="20"/>
        <v>0</v>
      </c>
      <c r="M44" s="159">
        <f t="shared" si="20"/>
        <v>0</v>
      </c>
      <c r="N44" s="159">
        <f t="shared" si="20"/>
        <v>0</v>
      </c>
      <c r="O44" s="159">
        <f t="shared" si="20"/>
        <v>0</v>
      </c>
      <c r="P44" s="159">
        <f t="shared" si="20"/>
        <v>0</v>
      </c>
      <c r="Q44" s="159">
        <f t="shared" si="20"/>
        <v>0</v>
      </c>
      <c r="R44" s="159">
        <f t="shared" si="20"/>
        <v>0</v>
      </c>
      <c r="S44" s="159">
        <f t="shared" si="20"/>
        <v>0</v>
      </c>
      <c r="T44" s="159">
        <f t="shared" si="20"/>
        <v>0</v>
      </c>
    </row>
    <row r="45" spans="1:20" ht="18.600000000000001" customHeight="1" thickTop="1" x14ac:dyDescent="0.35">
      <c r="A45" s="204" t="s">
        <v>76</v>
      </c>
      <c r="B45" s="77">
        <f t="shared" ref="B45:G45" si="21">ROUND(IF($A45="TDC",B44,B44-B30-B36-B37-B41),0)</f>
        <v>0</v>
      </c>
      <c r="C45" s="77">
        <f t="shared" si="21"/>
        <v>0</v>
      </c>
      <c r="D45" s="77">
        <f t="shared" si="21"/>
        <v>0</v>
      </c>
      <c r="E45" s="77">
        <f t="shared" si="21"/>
        <v>0</v>
      </c>
      <c r="F45" s="77">
        <f t="shared" si="21"/>
        <v>0</v>
      </c>
      <c r="G45" s="77">
        <f t="shared" si="21"/>
        <v>0</v>
      </c>
      <c r="I45" s="77">
        <f t="shared" ref="I45:T45" si="22">ROUND(IF($A45="TDC",I44,I44-I30-I36-I37-I41),0)</f>
        <v>0</v>
      </c>
      <c r="J45" s="77">
        <f t="shared" si="22"/>
        <v>0</v>
      </c>
      <c r="K45" s="77">
        <f t="shared" si="22"/>
        <v>0</v>
      </c>
      <c r="L45" s="77">
        <f t="shared" si="22"/>
        <v>0</v>
      </c>
      <c r="M45" s="77">
        <f t="shared" si="22"/>
        <v>0</v>
      </c>
      <c r="N45" s="77">
        <f t="shared" si="22"/>
        <v>0</v>
      </c>
      <c r="O45" s="77">
        <f t="shared" si="22"/>
        <v>0</v>
      </c>
      <c r="P45" s="77">
        <f t="shared" si="22"/>
        <v>0</v>
      </c>
      <c r="Q45" s="77">
        <f t="shared" si="22"/>
        <v>0</v>
      </c>
      <c r="R45" s="77">
        <f t="shared" si="22"/>
        <v>0</v>
      </c>
      <c r="S45" s="77">
        <f t="shared" si="22"/>
        <v>0</v>
      </c>
      <c r="T45" s="77">
        <f t="shared" si="22"/>
        <v>0</v>
      </c>
    </row>
    <row r="46" spans="1:20" ht="18" customHeight="1" x14ac:dyDescent="0.35">
      <c r="A46" s="83" t="s">
        <v>109</v>
      </c>
      <c r="B46" s="77">
        <f ca="1">ROUND(IF($F$53="Yes",B45*$G$53,$B$53*B$45),0)</f>
        <v>0</v>
      </c>
      <c r="C46" s="77">
        <f ca="1">ROUND(IF($F$53="Yes",C45*$G$53,$B$53*C$45),0)</f>
        <v>0</v>
      </c>
      <c r="D46" s="77">
        <f ca="1">ROUND(IF($F$53="Yes",D45*$G$53,$B$53*D$45),0)</f>
        <v>0</v>
      </c>
      <c r="E46" s="77">
        <f ca="1">ROUND(IF($F$53="Yes",E45*$G$53,$B$53*E$45),0)</f>
        <v>0</v>
      </c>
      <c r="F46" s="77">
        <f ca="1">ROUND(IF($F$53="Yes",F45*$G$53,$B$53*F$45),0)</f>
        <v>0</v>
      </c>
      <c r="G46" s="78">
        <f ca="1">ROUND(SUM(B46:F46),0)</f>
        <v>0</v>
      </c>
      <c r="H46" s="12"/>
      <c r="I46" s="77">
        <f t="shared" ref="I46:T46" ca="1" si="23">ROUND(IF($F$53="Yes",I45*$G$53,$B$53*I$45),0)</f>
        <v>0</v>
      </c>
      <c r="J46" s="77">
        <f t="shared" ca="1" si="23"/>
        <v>0</v>
      </c>
      <c r="K46" s="77">
        <f t="shared" ca="1" si="23"/>
        <v>0</v>
      </c>
      <c r="L46" s="77">
        <f t="shared" ca="1" si="23"/>
        <v>0</v>
      </c>
      <c r="M46" s="77">
        <f t="shared" ca="1" si="23"/>
        <v>0</v>
      </c>
      <c r="N46" s="77">
        <f t="shared" ca="1" si="23"/>
        <v>0</v>
      </c>
      <c r="O46" s="77">
        <f t="shared" ca="1" si="23"/>
        <v>0</v>
      </c>
      <c r="P46" s="77">
        <f t="shared" ca="1" si="23"/>
        <v>0</v>
      </c>
      <c r="Q46" s="77">
        <f t="shared" ca="1" si="23"/>
        <v>0</v>
      </c>
      <c r="R46" s="77">
        <f t="shared" ca="1" si="23"/>
        <v>0</v>
      </c>
      <c r="S46" s="77">
        <f t="shared" ca="1" si="23"/>
        <v>0</v>
      </c>
      <c r="T46" s="77">
        <f t="shared" ca="1" si="23"/>
        <v>0</v>
      </c>
    </row>
    <row r="47" spans="1:20" ht="18" customHeight="1" x14ac:dyDescent="0.35">
      <c r="A47" s="83" t="s">
        <v>110</v>
      </c>
      <c r="B47" s="77">
        <f>IF($F$53="Yes",(((B44-B41-B36-B35-B30)*$B$53)-B46)+(('Sponsor Cost'!B45-'Sponsor Cost'!B41-'Sponsor Cost'!B37-'Sponsor Cost'!B29-'Sponsor Cost'!B36)*'Sponsor Cost'!$B$54)-'Sponsor Cost'!B47,0)</f>
        <v>0</v>
      </c>
      <c r="C47" s="77">
        <f>IF($F$53="Yes",(((C44-C41-C36-C35-C30)*$B$53)-C46)+(('Sponsor Cost'!C45-'Sponsor Cost'!C41-'Sponsor Cost'!C37-'Sponsor Cost'!C29-'Sponsor Cost'!C36)*'Sponsor Cost'!$B$54)-'Sponsor Cost'!C47,0)</f>
        <v>0</v>
      </c>
      <c r="D47" s="77">
        <f>IF($F$53="Yes",(((D44-D41-D36-D35-D30)*$B$53)-D46)+(('Sponsor Cost'!D45-'Sponsor Cost'!D41-'Sponsor Cost'!D37-'Sponsor Cost'!D29-'Sponsor Cost'!D36)*'Sponsor Cost'!$B$54)-'Sponsor Cost'!D47,0)</f>
        <v>0</v>
      </c>
      <c r="E47" s="77">
        <f>IF($F$53="Yes",(((E44-E41-E36-E35-E30)*$B$53)-E46)+(('Sponsor Cost'!E45-'Sponsor Cost'!E41-'Sponsor Cost'!E37-'Sponsor Cost'!E29-'Sponsor Cost'!E36)*'Sponsor Cost'!$B$54)-'Sponsor Cost'!E47,0)</f>
        <v>0</v>
      </c>
      <c r="F47" s="77">
        <f>IF($F$53="Yes",(((F44-F41-F36-F35-F30)*$B$53)-F46)+(('Sponsor Cost'!F45-'Sponsor Cost'!F41-'Sponsor Cost'!F37-'Sponsor Cost'!F29-'Sponsor Cost'!F36)*'Sponsor Cost'!$B$54)-'Sponsor Cost'!F47,0)</f>
        <v>0</v>
      </c>
      <c r="G47" s="78">
        <f>ROUND(SUM(B47:F47),0)</f>
        <v>0</v>
      </c>
      <c r="H47" s="12"/>
      <c r="I47" s="77">
        <f>ROUND(IF('Sponsor Cost'!$F$54="Yes",'Sponsor Cost'!H46*'Cost Share'!$B$53-'Sponsor Cost'!H47,0),0)</f>
        <v>0</v>
      </c>
      <c r="J47" s="77">
        <f>ROUND(IF('Sponsor Cost'!$F$54="Yes",'Sponsor Cost'!I46*'Cost Share'!$B$53-'Sponsor Cost'!I47,0),0)</f>
        <v>0</v>
      </c>
      <c r="K47" s="77">
        <f>ROUND(IF('Sponsor Cost'!$F$54="Yes",'Sponsor Cost'!J46*'Cost Share'!$B$53-'Sponsor Cost'!J47,0),0)</f>
        <v>0</v>
      </c>
      <c r="L47" s="77">
        <f>ROUND(IF('Sponsor Cost'!$F$54="Yes",'Sponsor Cost'!K46*'Cost Share'!$B$53-'Sponsor Cost'!K47,0),0)</f>
        <v>0</v>
      </c>
      <c r="M47" s="77">
        <f>ROUND(IF('Sponsor Cost'!$F$54="Yes",'Sponsor Cost'!L46*'Cost Share'!$B$53-'Sponsor Cost'!L47,0),0)</f>
        <v>0</v>
      </c>
      <c r="N47" s="77">
        <f>ROUND(IF('Sponsor Cost'!$F$54="Yes",'Sponsor Cost'!M46*'Cost Share'!$B$53-'Sponsor Cost'!M47,0),0)</f>
        <v>0</v>
      </c>
      <c r="O47" s="77">
        <f>ROUND(IF('Sponsor Cost'!$F$54="Yes",'Sponsor Cost'!N46*'Cost Share'!$B$53-'Sponsor Cost'!N47,0),0)</f>
        <v>0</v>
      </c>
      <c r="P47" s="77">
        <f>ROUND(IF('Sponsor Cost'!$F$54="Yes",'Sponsor Cost'!O46*'Cost Share'!$B$53-'Sponsor Cost'!O47,0),0)</f>
        <v>0</v>
      </c>
      <c r="Q47" s="77">
        <f>ROUND(IF('Sponsor Cost'!$F$54="Yes",'Sponsor Cost'!P46*'Cost Share'!$B$53-'Sponsor Cost'!P47,0),0)</f>
        <v>0</v>
      </c>
      <c r="R47" s="77">
        <f>ROUND(IF('Sponsor Cost'!$F$54="Yes",'Sponsor Cost'!Q46*'Cost Share'!$B$53-'Sponsor Cost'!Q47,0),0)</f>
        <v>0</v>
      </c>
      <c r="S47" s="77">
        <f>ROUND(IF('Sponsor Cost'!$F$54="Yes",'Sponsor Cost'!R46*'Cost Share'!$B$53-'Sponsor Cost'!R47,0),0)</f>
        <v>0</v>
      </c>
      <c r="T47" s="77">
        <f>ROUND(IF('Sponsor Cost'!$F$54="Yes",'Sponsor Cost'!S46*'Cost Share'!$B$53-'Sponsor Cost'!S47,0),0)</f>
        <v>0</v>
      </c>
    </row>
    <row r="48" spans="1:20" ht="18" customHeight="1" x14ac:dyDescent="0.35">
      <c r="A48" s="341" t="s">
        <v>111</v>
      </c>
      <c r="B48" s="342">
        <f>I48</f>
        <v>0</v>
      </c>
      <c r="C48" s="342">
        <f>K48</f>
        <v>0</v>
      </c>
      <c r="D48" s="342">
        <f>M48</f>
        <v>0</v>
      </c>
      <c r="E48" s="342">
        <f>O48</f>
        <v>0</v>
      </c>
      <c r="F48" s="342">
        <f>Q48</f>
        <v>0</v>
      </c>
      <c r="G48" s="343">
        <f>ROUND(SUM(B48:F48),0)</f>
        <v>0</v>
      </c>
      <c r="H48" s="12"/>
      <c r="I48" s="206">
        <f>I39</f>
        <v>0</v>
      </c>
      <c r="J48" s="206">
        <f>J39+J47</f>
        <v>0</v>
      </c>
      <c r="K48" s="206">
        <f>K39</f>
        <v>0</v>
      </c>
      <c r="L48" s="206">
        <f>L39+L47</f>
        <v>0</v>
      </c>
      <c r="M48" s="206">
        <f>M39</f>
        <v>0</v>
      </c>
      <c r="N48" s="206">
        <f>N39+N47</f>
        <v>0</v>
      </c>
      <c r="O48" s="206">
        <f>O39</f>
        <v>0</v>
      </c>
      <c r="P48" s="206">
        <f>P39+P47</f>
        <v>0</v>
      </c>
      <c r="Q48" s="206">
        <f>Q39</f>
        <v>0</v>
      </c>
      <c r="R48" s="206">
        <f>R39+R47</f>
        <v>0</v>
      </c>
      <c r="S48" s="206">
        <f>S39</f>
        <v>0</v>
      </c>
      <c r="T48" s="206">
        <f ca="1">T39+T46+T47</f>
        <v>0</v>
      </c>
    </row>
    <row r="49" spans="1:9" ht="18" customHeight="1" x14ac:dyDescent="0.35">
      <c r="A49" s="263" t="s">
        <v>112</v>
      </c>
      <c r="B49" s="171">
        <f>J48</f>
        <v>0</v>
      </c>
      <c r="C49" s="171">
        <f>L48</f>
        <v>0</v>
      </c>
      <c r="D49" s="171">
        <f>N48</f>
        <v>0</v>
      </c>
      <c r="E49" s="171">
        <f>P48</f>
        <v>0</v>
      </c>
      <c r="F49" s="171">
        <f>R48</f>
        <v>0</v>
      </c>
      <c r="G49" s="264">
        <f>ROUND(SUM(B49:F49),0)</f>
        <v>0</v>
      </c>
      <c r="H49" s="12"/>
      <c r="I49" s="206"/>
    </row>
    <row r="50" spans="1:9" s="189" customFormat="1" ht="18" customHeight="1" x14ac:dyDescent="0.35">
      <c r="A50" s="265"/>
      <c r="B50" s="180"/>
      <c r="C50" s="180"/>
      <c r="D50" s="180"/>
      <c r="E50" s="180"/>
      <c r="F50" s="180"/>
      <c r="G50" s="266"/>
      <c r="H50" s="267"/>
      <c r="I50" s="268"/>
    </row>
    <row r="51" spans="1:9" ht="18.600000000000001" customHeight="1" thickBot="1" x14ac:dyDescent="0.4">
      <c r="A51" s="88" t="s">
        <v>113</v>
      </c>
      <c r="B51" s="80">
        <f t="shared" ref="B51:G51" ca="1" si="24">ROUND(B44+B46+B47,0)</f>
        <v>0</v>
      </c>
      <c r="C51" s="80">
        <f t="shared" ca="1" si="24"/>
        <v>0</v>
      </c>
      <c r="D51" s="80">
        <f t="shared" ca="1" si="24"/>
        <v>0</v>
      </c>
      <c r="E51" s="80">
        <f t="shared" ca="1" si="24"/>
        <v>0</v>
      </c>
      <c r="F51" s="80">
        <f t="shared" ca="1" si="24"/>
        <v>0</v>
      </c>
      <c r="G51" s="80">
        <f t="shared" ca="1" si="24"/>
        <v>0</v>
      </c>
      <c r="H51" s="25"/>
    </row>
    <row r="52" spans="1:9" ht="18.600000000000001" customHeight="1" thickTop="1" x14ac:dyDescent="0.35">
      <c r="A52" s="89"/>
      <c r="B52" s="89"/>
      <c r="C52" s="89"/>
      <c r="D52" s="89"/>
      <c r="E52" s="89"/>
      <c r="F52" s="89"/>
      <c r="G52" s="70"/>
    </row>
    <row r="53" spans="1:9" ht="18" customHeight="1" x14ac:dyDescent="0.35">
      <c r="A53" s="109" t="s">
        <v>114</v>
      </c>
      <c r="B53" s="107">
        <f ca="1">'Sponsor Cost'!B54</f>
        <v>0.5</v>
      </c>
      <c r="C53" s="89"/>
      <c r="D53" s="56" t="s">
        <v>82</v>
      </c>
      <c r="E53" s="90"/>
      <c r="F53" s="272" t="str">
        <f>'Sponsor Cost'!F54</f>
        <v>No</v>
      </c>
      <c r="G53" s="275">
        <f>'Sponsor Cost'!G54</f>
        <v>0</v>
      </c>
    </row>
    <row r="54" spans="1:9" ht="18" customHeight="1" x14ac:dyDescent="0.35">
      <c r="A54" s="273" t="str">
        <f>'Sponsor Cost'!A55</f>
        <v>Organized Research - 7/1/23 - 6/30/25</v>
      </c>
      <c r="B54" s="93"/>
      <c r="C54" s="89"/>
      <c r="D54" s="89"/>
      <c r="E54" s="89"/>
      <c r="F54" s="94" t="str">
        <f>IF(F53="Yes","Waiver or Sponsor Policy Needed","")</f>
        <v/>
      </c>
      <c r="G54" s="93"/>
    </row>
    <row r="55" spans="1:9" ht="18" customHeight="1" x14ac:dyDescent="0.35">
      <c r="A55" s="273" t="str">
        <f>'Sponsor Cost'!A56</f>
        <v>On Campus</v>
      </c>
      <c r="B55" s="93"/>
      <c r="C55" s="89"/>
      <c r="D55" s="89"/>
      <c r="E55" s="89"/>
      <c r="F55" s="93"/>
      <c r="G55" s="177" t="s">
        <v>85</v>
      </c>
    </row>
    <row r="56" spans="1:9" ht="18" customHeight="1" x14ac:dyDescent="0.35">
      <c r="A56" s="95"/>
      <c r="B56" s="95"/>
      <c r="C56" s="95"/>
      <c r="D56" s="95"/>
      <c r="E56" s="95"/>
      <c r="F56" s="95"/>
      <c r="G56" s="135">
        <v>0</v>
      </c>
      <c r="H56" s="27"/>
    </row>
    <row r="57" spans="1:9" ht="18" hidden="1" customHeight="1" x14ac:dyDescent="0.35">
      <c r="A57" s="65" t="s">
        <v>115</v>
      </c>
      <c r="B57" s="71" t="s">
        <v>45</v>
      </c>
      <c r="C57" s="91" t="str">
        <f>'Sponsor Cost'!C58</f>
        <v>Yes</v>
      </c>
      <c r="D57" s="134">
        <f>'Sponsor Cost'!D58</f>
        <v>0.03</v>
      </c>
      <c r="E57" s="95"/>
      <c r="F57" s="95"/>
      <c r="G57" s="146">
        <f ca="1">G56-G51</f>
        <v>0</v>
      </c>
    </row>
    <row r="58" spans="1:9" ht="18.600000000000001" hidden="1" customHeight="1" thickBot="1" x14ac:dyDescent="0.4">
      <c r="A58" s="95"/>
      <c r="B58" s="95"/>
      <c r="C58" s="95"/>
      <c r="D58" s="95"/>
      <c r="E58" s="95"/>
      <c r="F58" s="95"/>
      <c r="G58" s="147" t="e">
        <f ca="1">G57/G56</f>
        <v>#DIV/0!</v>
      </c>
    </row>
    <row r="59" spans="1:9" ht="35.4" hidden="1" customHeight="1" x14ac:dyDescent="0.35">
      <c r="A59" s="96"/>
      <c r="B59" s="97" t="s">
        <v>84</v>
      </c>
      <c r="C59" s="97" t="s">
        <v>88</v>
      </c>
      <c r="D59" s="97"/>
      <c r="E59" s="98"/>
      <c r="F59" s="93"/>
      <c r="G59" s="93"/>
    </row>
    <row r="60" spans="1:9" ht="18" hidden="1" customHeight="1" x14ac:dyDescent="0.35">
      <c r="A60" s="65" t="s">
        <v>116</v>
      </c>
      <c r="B60" s="103">
        <v>0.38500000000000001</v>
      </c>
      <c r="C60" s="103">
        <v>0.156</v>
      </c>
      <c r="D60" s="103">
        <v>0</v>
      </c>
      <c r="E60" s="100"/>
      <c r="F60" s="93"/>
      <c r="G60" s="93"/>
    </row>
    <row r="61" spans="1:9" ht="18" hidden="1" customHeight="1" x14ac:dyDescent="0.35">
      <c r="A61" s="65" t="s">
        <v>117</v>
      </c>
      <c r="B61" s="103">
        <v>0.4</v>
      </c>
      <c r="C61" s="103">
        <v>0.17</v>
      </c>
      <c r="D61" s="103">
        <v>0</v>
      </c>
      <c r="E61" s="100"/>
      <c r="F61" s="93"/>
      <c r="G61" s="93"/>
    </row>
    <row r="62" spans="1:9" ht="18" hidden="1" customHeight="1" x14ac:dyDescent="0.35">
      <c r="A62" s="99"/>
      <c r="B62" s="103">
        <v>0</v>
      </c>
      <c r="C62" s="103">
        <v>0</v>
      </c>
      <c r="D62" s="103">
        <v>0</v>
      </c>
      <c r="E62" s="100"/>
      <c r="F62" s="93"/>
      <c r="G62" s="93"/>
    </row>
    <row r="63" spans="1:9" ht="18" hidden="1" customHeight="1" x14ac:dyDescent="0.35">
      <c r="A63" s="99"/>
      <c r="B63" s="103">
        <v>0</v>
      </c>
      <c r="C63" s="103">
        <v>0</v>
      </c>
      <c r="D63" s="103">
        <v>0</v>
      </c>
      <c r="E63" s="100"/>
      <c r="F63" s="93"/>
      <c r="G63" s="93"/>
    </row>
    <row r="64" spans="1:9" ht="18.600000000000001" hidden="1" customHeight="1" thickBot="1" x14ac:dyDescent="0.4">
      <c r="A64" s="101"/>
      <c r="B64" s="104">
        <v>0</v>
      </c>
      <c r="C64" s="104">
        <v>0</v>
      </c>
      <c r="D64" s="104">
        <v>0</v>
      </c>
      <c r="E64" s="102"/>
      <c r="F64" s="93"/>
      <c r="G64" s="93"/>
    </row>
    <row r="66" spans="1:3" hidden="1" x14ac:dyDescent="0.3">
      <c r="A66" s="120" t="s">
        <v>95</v>
      </c>
      <c r="B66" s="42" t="s">
        <v>76</v>
      </c>
      <c r="C66" s="63"/>
    </row>
    <row r="67" spans="1:3" hidden="1" x14ac:dyDescent="0.3">
      <c r="A67" s="42"/>
      <c r="B67" s="42" t="s">
        <v>96</v>
      </c>
      <c r="C67" s="63"/>
    </row>
    <row r="68" spans="1:3" hidden="1" x14ac:dyDescent="0.3">
      <c r="A68" s="63"/>
      <c r="B68" s="63"/>
      <c r="C68" s="63"/>
    </row>
    <row r="69" spans="1:3" hidden="1" x14ac:dyDescent="0.3">
      <c r="A69" s="63"/>
      <c r="B69" s="42" t="s">
        <v>33</v>
      </c>
      <c r="C69" s="63"/>
    </row>
    <row r="70" spans="1:3" hidden="1" x14ac:dyDescent="0.3">
      <c r="A70" s="63"/>
      <c r="B70" s="42" t="s">
        <v>34</v>
      </c>
      <c r="C70" s="63"/>
    </row>
    <row r="71" spans="1:3" hidden="1" x14ac:dyDescent="0.3">
      <c r="A71" s="63"/>
      <c r="B71" s="63"/>
      <c r="C71" s="63"/>
    </row>
    <row r="72" spans="1:3" hidden="1" x14ac:dyDescent="0.3">
      <c r="B72" s="42" t="s">
        <v>118</v>
      </c>
    </row>
    <row r="73" spans="1:3" hidden="1" x14ac:dyDescent="0.3">
      <c r="B73" s="42" t="s">
        <v>106</v>
      </c>
    </row>
    <row r="74" spans="1:3" hidden="1" x14ac:dyDescent="0.3">
      <c r="B74" s="42" t="s">
        <v>119</v>
      </c>
    </row>
    <row r="75" spans="1:3" hidden="1" x14ac:dyDescent="0.3"/>
    <row r="76" spans="1:3" hidden="1" x14ac:dyDescent="0.3"/>
  </sheetData>
  <sheetProtection algorithmName="SHA-512" hashValue="D5ccKmdY2lu7Zfkw5KOSw4Jxsfb9hFvqeglW6FNM9q+efV5Pf6VkVrHgi3ryLkxhT/Nq40y3E5QXrOjAev6lVA==" saltValue="29E1xEQnvQxpts8FzXFuJg==" spinCount="100000" sheet="1" objects="1" scenarios="1"/>
  <mergeCells count="11">
    <mergeCell ref="B3:G3"/>
    <mergeCell ref="B2:G2"/>
    <mergeCell ref="B5:G5"/>
    <mergeCell ref="B1:G1"/>
    <mergeCell ref="K9:L9"/>
    <mergeCell ref="B4:G4"/>
    <mergeCell ref="M9:N9"/>
    <mergeCell ref="Q9:R9"/>
    <mergeCell ref="O9:P9"/>
    <mergeCell ref="S9:T9"/>
    <mergeCell ref="I9:J9"/>
  </mergeCells>
  <dataValidations count="4">
    <dataValidation type="list" allowBlank="1" showInputMessage="1" showErrorMessage="1" sqref="C57 F53" xr:uid="{00000000-0002-0000-0100-000000000000}">
      <formula1>$B$69:$B$70</formula1>
    </dataValidation>
    <dataValidation type="list" allowBlank="1" showInputMessage="1" showErrorMessage="1" sqref="A54:A55" xr:uid="{00000000-0002-0000-0100-000001000000}">
      <formula1>$A$60:$A$64</formula1>
    </dataValidation>
    <dataValidation type="list" allowBlank="1" showInputMessage="1" showErrorMessage="1" sqref="A45" xr:uid="{00000000-0002-0000-0100-000002000000}">
      <formula1>$B$66:$B$67</formula1>
    </dataValidation>
    <dataValidation type="list" allowBlank="1" showInputMessage="1" showErrorMessage="1" sqref="H19 H27 H30:H37" xr:uid="{00000000-0002-0000-0100-000003000000}">
      <formula1>$B$72:$B$74</formula1>
    </dataValidation>
  </dataValidations>
  <hyperlinks>
    <hyperlink ref="A53" r:id="rId1" xr:uid="{00000000-0004-0000-0100-000000000000}"/>
  </hyperlinks>
  <pageMargins left="0.7" right="0.7" top="0.75" bottom="0.75" header="0.3" footer="0.3"/>
  <pageSetup orientation="portrait" horizontalDpi="1200" verticalDpi="120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135"/>
  <sheetViews>
    <sheetView zoomScale="136" zoomScaleNormal="136" zoomScalePageLayoutView="110" workbookViewId="0">
      <pane ySplit="4" topLeftCell="A8" activePane="bottomLeft" state="frozen"/>
      <selection pane="bottomLeft" activeCell="F57" sqref="F57"/>
    </sheetView>
  </sheetViews>
  <sheetFormatPr defaultColWidth="9.109375" defaultRowHeight="14.4" x14ac:dyDescent="0.3"/>
  <cols>
    <col min="1" max="1" width="40" customWidth="1"/>
    <col min="2" max="2" width="10.44140625" customWidth="1"/>
    <col min="3" max="3" width="15.44140625" customWidth="1"/>
    <col min="4" max="5" width="10.44140625" customWidth="1"/>
    <col min="6" max="6" width="10.88671875" bestFit="1" customWidth="1"/>
    <col min="7" max="10" width="12" bestFit="1" customWidth="1"/>
  </cols>
  <sheetData>
    <row r="1" spans="1:10" ht="15" customHeight="1" thickBot="1" x14ac:dyDescent="0.35">
      <c r="A1" s="326"/>
    </row>
    <row r="2" spans="1:10" ht="15" customHeight="1" thickBot="1" x14ac:dyDescent="0.35">
      <c r="A2" s="30"/>
      <c r="B2" s="30"/>
      <c r="C2" s="192" t="s">
        <v>120</v>
      </c>
      <c r="D2" s="29" t="s">
        <v>34</v>
      </c>
      <c r="E2" s="152">
        <v>0</v>
      </c>
      <c r="F2" s="404" t="s">
        <v>121</v>
      </c>
      <c r="G2" s="405"/>
      <c r="H2" s="405"/>
      <c r="I2" s="405"/>
      <c r="J2" s="406"/>
    </row>
    <row r="3" spans="1:10" ht="27" customHeight="1" x14ac:dyDescent="0.3">
      <c r="A3" s="31" t="s">
        <v>122</v>
      </c>
      <c r="B3" s="32" t="s">
        <v>123</v>
      </c>
      <c r="C3" s="32" t="s">
        <v>124</v>
      </c>
      <c r="D3" s="359" t="s">
        <v>125</v>
      </c>
      <c r="E3" s="360" t="s">
        <v>126</v>
      </c>
      <c r="F3" s="376">
        <f>'Sponsor Cost'!B10</f>
        <v>0</v>
      </c>
      <c r="G3" s="376">
        <f>'Sponsor Cost'!C10</f>
        <v>366</v>
      </c>
      <c r="H3" s="376">
        <f>'Sponsor Cost'!D10</f>
        <v>731</v>
      </c>
      <c r="I3" s="376">
        <f>'Sponsor Cost'!E10</f>
        <v>1096</v>
      </c>
      <c r="J3" s="376">
        <f>'Sponsor Cost'!F10</f>
        <v>1461</v>
      </c>
    </row>
    <row r="4" spans="1:10" x14ac:dyDescent="0.3">
      <c r="A4" s="407" t="s">
        <v>52</v>
      </c>
      <c r="B4" s="399"/>
      <c r="C4" s="399"/>
      <c r="D4" s="399"/>
      <c r="E4" s="399"/>
      <c r="F4" s="399"/>
      <c r="G4" s="399"/>
      <c r="H4" s="399"/>
      <c r="I4" s="399"/>
      <c r="J4" s="399"/>
    </row>
    <row r="5" spans="1:10" x14ac:dyDescent="0.3">
      <c r="A5" s="358"/>
      <c r="B5" s="20" t="s">
        <v>33</v>
      </c>
      <c r="C5" s="20"/>
      <c r="D5" s="357">
        <v>0</v>
      </c>
      <c r="E5" s="20">
        <v>9</v>
      </c>
      <c r="F5" s="138">
        <v>0</v>
      </c>
      <c r="G5" s="138">
        <v>0</v>
      </c>
      <c r="H5" s="138">
        <v>0</v>
      </c>
      <c r="I5" s="138">
        <v>0</v>
      </c>
      <c r="J5" s="138">
        <v>0</v>
      </c>
    </row>
    <row r="6" spans="1:10" x14ac:dyDescent="0.3">
      <c r="A6" s="358"/>
      <c r="B6" s="20"/>
      <c r="C6" s="20"/>
      <c r="D6" s="357">
        <v>0</v>
      </c>
      <c r="E6" s="20">
        <v>9</v>
      </c>
      <c r="F6" s="138">
        <v>0</v>
      </c>
      <c r="G6" s="138">
        <v>0</v>
      </c>
      <c r="H6" s="138">
        <v>0</v>
      </c>
      <c r="I6" s="138">
        <v>0</v>
      </c>
      <c r="J6" s="138">
        <v>0</v>
      </c>
    </row>
    <row r="7" spans="1:10" x14ac:dyDescent="0.3">
      <c r="A7" s="358"/>
      <c r="B7" s="20"/>
      <c r="C7" s="20"/>
      <c r="D7" s="357">
        <v>0</v>
      </c>
      <c r="E7" s="20">
        <v>9</v>
      </c>
      <c r="F7" s="138">
        <v>0</v>
      </c>
      <c r="G7" s="138">
        <v>0</v>
      </c>
      <c r="H7" s="138">
        <v>0</v>
      </c>
      <c r="I7" s="138">
        <v>0</v>
      </c>
      <c r="J7" s="138">
        <v>0</v>
      </c>
    </row>
    <row r="8" spans="1:10" x14ac:dyDescent="0.3">
      <c r="A8" s="358"/>
      <c r="B8" s="20"/>
      <c r="C8" s="20"/>
      <c r="D8" s="357">
        <v>0</v>
      </c>
      <c r="E8" s="20">
        <v>9</v>
      </c>
      <c r="F8" s="138">
        <v>0</v>
      </c>
      <c r="G8" s="138">
        <v>0</v>
      </c>
      <c r="H8" s="138">
        <v>0</v>
      </c>
      <c r="I8" s="138">
        <v>0</v>
      </c>
      <c r="J8" s="138">
        <v>0</v>
      </c>
    </row>
    <row r="9" spans="1:10" x14ac:dyDescent="0.3">
      <c r="A9" s="358"/>
      <c r="B9" s="20"/>
      <c r="C9" s="20"/>
      <c r="D9" s="357">
        <v>0</v>
      </c>
      <c r="E9" s="20">
        <v>9</v>
      </c>
      <c r="F9" s="138">
        <v>0</v>
      </c>
      <c r="G9" s="138">
        <v>0</v>
      </c>
      <c r="H9" s="138">
        <v>0</v>
      </c>
      <c r="I9" s="138">
        <v>0</v>
      </c>
      <c r="J9" s="138">
        <v>0</v>
      </c>
    </row>
    <row r="10" spans="1:10" x14ac:dyDescent="0.3">
      <c r="A10" s="358"/>
      <c r="B10" s="20"/>
      <c r="C10" s="20"/>
      <c r="D10" s="357">
        <v>0</v>
      </c>
      <c r="E10" s="20">
        <v>9</v>
      </c>
      <c r="F10" s="138">
        <v>0</v>
      </c>
      <c r="G10" s="138">
        <v>0</v>
      </c>
      <c r="H10" s="138">
        <v>0</v>
      </c>
      <c r="I10" s="138">
        <v>0</v>
      </c>
      <c r="J10" s="138">
        <v>0</v>
      </c>
    </row>
    <row r="11" spans="1:10" x14ac:dyDescent="0.3">
      <c r="A11" s="358"/>
      <c r="B11" s="20"/>
      <c r="C11" s="20"/>
      <c r="D11" s="357">
        <v>0</v>
      </c>
      <c r="E11" s="20">
        <v>9</v>
      </c>
      <c r="F11" s="138">
        <v>0</v>
      </c>
      <c r="G11" s="138">
        <v>0</v>
      </c>
      <c r="H11" s="138">
        <v>0</v>
      </c>
      <c r="I11" s="138">
        <v>0</v>
      </c>
      <c r="J11" s="138">
        <v>0</v>
      </c>
    </row>
    <row r="12" spans="1:10" x14ac:dyDescent="0.3">
      <c r="A12" s="358"/>
      <c r="B12" s="20"/>
      <c r="C12" s="20"/>
      <c r="D12" s="357">
        <v>0</v>
      </c>
      <c r="E12" s="20">
        <v>9</v>
      </c>
      <c r="F12" s="138">
        <v>0</v>
      </c>
      <c r="G12" s="138">
        <v>0</v>
      </c>
      <c r="H12" s="138">
        <v>0</v>
      </c>
      <c r="I12" s="138">
        <v>0</v>
      </c>
      <c r="J12" s="138">
        <v>0</v>
      </c>
    </row>
    <row r="13" spans="1:10" x14ac:dyDescent="0.3">
      <c r="A13" s="358"/>
      <c r="B13" s="20"/>
      <c r="C13" s="20"/>
      <c r="D13" s="357">
        <v>0</v>
      </c>
      <c r="E13" s="20">
        <v>9</v>
      </c>
      <c r="F13" s="138">
        <v>0</v>
      </c>
      <c r="G13" s="138">
        <v>0</v>
      </c>
      <c r="H13" s="138">
        <v>0</v>
      </c>
      <c r="I13" s="138">
        <v>0</v>
      </c>
      <c r="J13" s="138">
        <v>0</v>
      </c>
    </row>
    <row r="14" spans="1:10" x14ac:dyDescent="0.3">
      <c r="A14" s="358"/>
      <c r="B14" s="20"/>
      <c r="C14" s="20"/>
      <c r="D14" s="357">
        <v>0</v>
      </c>
      <c r="E14" s="20">
        <v>9</v>
      </c>
      <c r="F14" s="138">
        <v>0</v>
      </c>
      <c r="G14" s="138">
        <v>0</v>
      </c>
      <c r="H14" s="138">
        <v>0</v>
      </c>
      <c r="I14" s="138">
        <v>0</v>
      </c>
      <c r="J14" s="138">
        <v>0</v>
      </c>
    </row>
    <row r="15" spans="1:10" x14ac:dyDescent="0.3">
      <c r="A15" s="358"/>
      <c r="B15" s="20"/>
      <c r="C15" s="20"/>
      <c r="D15" s="357">
        <v>0</v>
      </c>
      <c r="E15" s="20">
        <v>9</v>
      </c>
      <c r="F15" s="138">
        <v>0</v>
      </c>
      <c r="G15" s="138">
        <v>0</v>
      </c>
      <c r="H15" s="138">
        <v>0</v>
      </c>
      <c r="I15" s="138">
        <v>0</v>
      </c>
      <c r="J15" s="138">
        <v>0</v>
      </c>
    </row>
    <row r="16" spans="1:10" hidden="1" x14ac:dyDescent="0.3">
      <c r="A16" s="136"/>
      <c r="B16" s="136"/>
      <c r="C16" s="20" t="s">
        <v>127</v>
      </c>
      <c r="D16" s="137">
        <f>IF(A16&gt;0,(VLOOKUP($A16,'Rate Table'!$A$3:$B$103,2,FALSE)),0)/10*12</f>
        <v>0</v>
      </c>
      <c r="E16" s="137"/>
      <c r="F16" s="138">
        <v>0</v>
      </c>
      <c r="G16" s="138">
        <v>0</v>
      </c>
      <c r="H16" s="138">
        <v>0</v>
      </c>
      <c r="I16" s="138">
        <v>0</v>
      </c>
      <c r="J16" s="138">
        <v>0</v>
      </c>
    </row>
    <row r="17" spans="1:10" hidden="1" x14ac:dyDescent="0.3">
      <c r="A17" s="136"/>
      <c r="B17" s="136"/>
      <c r="C17" s="20" t="s">
        <v>127</v>
      </c>
      <c r="D17" s="137">
        <f>IF(A17&gt;0,(VLOOKUP($A17,'Rate Table'!$A$3:$B$103,2,FALSE)),0)/10*12</f>
        <v>0</v>
      </c>
      <c r="E17" s="137"/>
      <c r="F17" s="138">
        <v>0</v>
      </c>
      <c r="G17" s="138">
        <v>0</v>
      </c>
      <c r="H17" s="138">
        <v>0</v>
      </c>
      <c r="I17" s="138">
        <v>0</v>
      </c>
      <c r="J17" s="138">
        <v>0</v>
      </c>
    </row>
    <row r="18" spans="1:10" hidden="1" x14ac:dyDescent="0.3">
      <c r="A18" s="136"/>
      <c r="B18" s="136"/>
      <c r="C18" s="20" t="s">
        <v>127</v>
      </c>
      <c r="D18" s="137">
        <f>IF(A18&gt;0,(VLOOKUP($A18,'Rate Table'!$A$3:$B$103,2,FALSE)),0)/10*12</f>
        <v>0</v>
      </c>
      <c r="E18" s="137"/>
      <c r="F18" s="138">
        <v>0</v>
      </c>
      <c r="G18" s="138">
        <v>0</v>
      </c>
      <c r="H18" s="138">
        <v>0</v>
      </c>
      <c r="I18" s="138">
        <v>0</v>
      </c>
      <c r="J18" s="138">
        <v>0</v>
      </c>
    </row>
    <row r="19" spans="1:10" hidden="1" x14ac:dyDescent="0.3">
      <c r="A19" s="136"/>
      <c r="B19" s="136"/>
      <c r="C19" s="20" t="s">
        <v>127</v>
      </c>
      <c r="D19" s="137">
        <f>IF(A19&gt;0,(VLOOKUP($A19,'Rate Table'!$A$3:$B$103,2,FALSE)),0)/10*12</f>
        <v>0</v>
      </c>
      <c r="E19" s="137"/>
      <c r="F19" s="138">
        <v>0</v>
      </c>
      <c r="G19" s="138">
        <v>0</v>
      </c>
      <c r="H19" s="138">
        <v>0</v>
      </c>
      <c r="I19" s="138">
        <v>0</v>
      </c>
      <c r="J19" s="138">
        <v>0</v>
      </c>
    </row>
    <row r="20" spans="1:10" hidden="1" x14ac:dyDescent="0.3">
      <c r="A20" s="136"/>
      <c r="B20" s="136"/>
      <c r="C20" s="20" t="s">
        <v>127</v>
      </c>
      <c r="D20" s="137">
        <f>IF(A20&gt;0,(VLOOKUP($A20,'Rate Table'!$A$3:$B$103,2,FALSE)),0)/10*12</f>
        <v>0</v>
      </c>
      <c r="E20" s="137"/>
      <c r="F20" s="138">
        <v>0</v>
      </c>
      <c r="G20" s="138">
        <v>0</v>
      </c>
      <c r="H20" s="138">
        <v>0</v>
      </c>
      <c r="I20" s="138">
        <v>0</v>
      </c>
      <c r="J20" s="138">
        <v>0</v>
      </c>
    </row>
    <row r="21" spans="1:10" hidden="1" x14ac:dyDescent="0.3">
      <c r="A21" s="136"/>
      <c r="B21" s="136"/>
      <c r="C21" s="20" t="s">
        <v>127</v>
      </c>
      <c r="D21" s="137">
        <f>IF(A21&gt;0,(VLOOKUP($A21,'Rate Table'!$A$3:$B$103,2,FALSE)),0)/10*12</f>
        <v>0</v>
      </c>
      <c r="E21" s="137"/>
      <c r="F21" s="138">
        <v>0</v>
      </c>
      <c r="G21" s="138">
        <v>0</v>
      </c>
      <c r="H21" s="138">
        <v>0</v>
      </c>
      <c r="I21" s="138">
        <v>0</v>
      </c>
      <c r="J21" s="138">
        <v>0</v>
      </c>
    </row>
    <row r="22" spans="1:10" hidden="1" x14ac:dyDescent="0.3">
      <c r="A22" s="136"/>
      <c r="B22" s="136"/>
      <c r="C22" s="20" t="s">
        <v>127</v>
      </c>
      <c r="D22" s="137">
        <f>IF(A22&gt;0,(VLOOKUP($A22,'Rate Table'!$A$3:$B$103,2,FALSE)),0)/10*12</f>
        <v>0</v>
      </c>
      <c r="E22" s="137"/>
      <c r="F22" s="138">
        <v>0</v>
      </c>
      <c r="G22" s="138">
        <v>0</v>
      </c>
      <c r="H22" s="138">
        <v>0</v>
      </c>
      <c r="I22" s="138">
        <v>0</v>
      </c>
      <c r="J22" s="138">
        <v>0</v>
      </c>
    </row>
    <row r="23" spans="1:10" hidden="1" x14ac:dyDescent="0.3">
      <c r="A23" s="136"/>
      <c r="B23" s="136"/>
      <c r="C23" s="20" t="s">
        <v>127</v>
      </c>
      <c r="D23" s="137">
        <f>IF(A23&gt;0,(VLOOKUP($A23,'Rate Table'!$A$3:$B$103,2,FALSE)),0)/10*12</f>
        <v>0</v>
      </c>
      <c r="E23" s="137"/>
      <c r="F23" s="138">
        <v>0</v>
      </c>
      <c r="G23" s="138">
        <v>0</v>
      </c>
      <c r="H23" s="138">
        <v>0</v>
      </c>
      <c r="I23" s="138">
        <v>0</v>
      </c>
      <c r="J23" s="138">
        <v>0</v>
      </c>
    </row>
    <row r="24" spans="1:10" hidden="1" x14ac:dyDescent="0.3">
      <c r="A24" s="136"/>
      <c r="B24" s="136"/>
      <c r="C24" s="20" t="s">
        <v>127</v>
      </c>
      <c r="D24" s="137">
        <f>IF(A24&gt;0,(VLOOKUP($A24,'Rate Table'!$A$3:$B$103,2,FALSE)),0)/10*12</f>
        <v>0</v>
      </c>
      <c r="E24" s="137"/>
      <c r="F24" s="138">
        <v>0</v>
      </c>
      <c r="G24" s="138">
        <v>0</v>
      </c>
      <c r="H24" s="138">
        <v>0</v>
      </c>
      <c r="I24" s="138">
        <v>0</v>
      </c>
      <c r="J24" s="138">
        <v>0</v>
      </c>
    </row>
    <row r="25" spans="1:10" hidden="1" x14ac:dyDescent="0.3">
      <c r="A25" s="136"/>
      <c r="B25" s="136"/>
      <c r="C25" s="20" t="s">
        <v>127</v>
      </c>
      <c r="D25" s="137">
        <f>IF(A25&gt;0,(VLOOKUP($A25,'Rate Table'!$A$3:$B$103,2,FALSE)),0)/10*12</f>
        <v>0</v>
      </c>
      <c r="E25" s="137"/>
      <c r="F25" s="138">
        <v>0</v>
      </c>
      <c r="G25" s="138">
        <v>0</v>
      </c>
      <c r="H25" s="138">
        <v>0</v>
      </c>
      <c r="I25" s="138">
        <v>0</v>
      </c>
      <c r="J25" s="138">
        <v>0</v>
      </c>
    </row>
    <row r="26" spans="1:10" hidden="1" x14ac:dyDescent="0.3">
      <c r="A26" s="136"/>
      <c r="B26" s="136"/>
      <c r="C26" s="20" t="s">
        <v>127</v>
      </c>
      <c r="D26" s="137">
        <f>IF(A26&gt;0,(VLOOKUP($A26,'Rate Table'!$A$3:$B$103,2,FALSE)),0)/10*12</f>
        <v>0</v>
      </c>
      <c r="E26" s="137"/>
      <c r="F26" s="138">
        <v>0</v>
      </c>
      <c r="G26" s="138">
        <v>0</v>
      </c>
      <c r="H26" s="138">
        <v>0</v>
      </c>
      <c r="I26" s="138">
        <v>0</v>
      </c>
      <c r="J26" s="138">
        <v>0</v>
      </c>
    </row>
    <row r="27" spans="1:10" hidden="1" x14ac:dyDescent="0.3">
      <c r="A27" s="136"/>
      <c r="B27" s="136"/>
      <c r="C27" s="20" t="s">
        <v>128</v>
      </c>
      <c r="D27" s="137">
        <f>IF(A27&gt;0,(VLOOKUP($A27,'Rate Table'!$A$3:$B$103,2,FALSE)),0)/10*12</f>
        <v>0</v>
      </c>
      <c r="E27" s="137"/>
      <c r="F27" s="138">
        <v>0</v>
      </c>
      <c r="G27" s="138">
        <v>0</v>
      </c>
      <c r="H27" s="138">
        <v>0</v>
      </c>
      <c r="I27" s="138">
        <v>0</v>
      </c>
      <c r="J27" s="138">
        <v>0</v>
      </c>
    </row>
    <row r="28" spans="1:10" hidden="1" x14ac:dyDescent="0.3">
      <c r="A28" s="136"/>
      <c r="B28" s="136"/>
      <c r="C28" s="20" t="s">
        <v>127</v>
      </c>
      <c r="D28" s="137">
        <f>IF(A28&gt;0,(VLOOKUP($A28,'Rate Table'!$A$3:$B$103,2,FALSE)),0)/10*12</f>
        <v>0</v>
      </c>
      <c r="E28" s="137"/>
      <c r="F28" s="138">
        <v>0</v>
      </c>
      <c r="G28" s="138">
        <v>0</v>
      </c>
      <c r="H28" s="138">
        <v>0</v>
      </c>
      <c r="I28" s="138">
        <v>0</v>
      </c>
      <c r="J28" s="138">
        <v>0</v>
      </c>
    </row>
    <row r="29" spans="1:10" hidden="1" x14ac:dyDescent="0.3">
      <c r="A29" s="136"/>
      <c r="B29" s="136"/>
      <c r="C29" s="20" t="s">
        <v>127</v>
      </c>
      <c r="D29" s="137">
        <f>IF(A29&gt;0,(VLOOKUP($A29,'Rate Table'!$A$3:$B$103,2,FALSE)),0)/10*12</f>
        <v>0</v>
      </c>
      <c r="E29" s="137"/>
      <c r="F29" s="138"/>
      <c r="G29" s="138"/>
      <c r="H29" s="138"/>
      <c r="I29" s="138">
        <v>0</v>
      </c>
      <c r="J29" s="138">
        <v>0</v>
      </c>
    </row>
    <row r="30" spans="1:10" hidden="1" x14ac:dyDescent="0.3">
      <c r="A30" s="136"/>
      <c r="B30" s="136"/>
      <c r="C30" s="20" t="s">
        <v>127</v>
      </c>
      <c r="D30" s="137">
        <f>IF(A30&gt;0,(VLOOKUP($A30,'Rate Table'!$A$3:$B$103,2,FALSE)),0)/10*12</f>
        <v>0</v>
      </c>
      <c r="E30" s="137"/>
      <c r="F30" s="138">
        <v>0</v>
      </c>
      <c r="G30" s="138">
        <v>0</v>
      </c>
      <c r="H30" s="138">
        <v>0</v>
      </c>
      <c r="I30" s="138">
        <v>0</v>
      </c>
      <c r="J30" s="138">
        <v>0</v>
      </c>
    </row>
    <row r="31" spans="1:10" hidden="1" x14ac:dyDescent="0.3">
      <c r="A31" s="136"/>
      <c r="B31" s="136"/>
      <c r="C31" s="20" t="s">
        <v>127</v>
      </c>
      <c r="D31" s="137">
        <f>IF(A31&gt;0,(VLOOKUP($A31,'Rate Table'!$A$3:$B$103,2,FALSE)),0)/10*12</f>
        <v>0</v>
      </c>
      <c r="E31" s="137"/>
      <c r="F31" s="138">
        <v>0</v>
      </c>
      <c r="G31" s="138">
        <v>0</v>
      </c>
      <c r="H31" s="138">
        <v>0</v>
      </c>
      <c r="I31" s="138">
        <v>0</v>
      </c>
      <c r="J31" s="138">
        <v>0</v>
      </c>
    </row>
    <row r="32" spans="1:10" hidden="1" x14ac:dyDescent="0.3">
      <c r="A32" s="136"/>
      <c r="B32" s="136"/>
      <c r="C32" s="20" t="s">
        <v>127</v>
      </c>
      <c r="D32" s="137">
        <f>IF(A32&gt;0,(VLOOKUP($A32,'Rate Table'!$A$3:$B$103,2,FALSE)),0)/10*12</f>
        <v>0</v>
      </c>
      <c r="E32" s="137"/>
      <c r="F32" s="138">
        <v>0</v>
      </c>
      <c r="G32" s="138">
        <v>0</v>
      </c>
      <c r="H32" s="138">
        <v>0</v>
      </c>
      <c r="I32" s="138">
        <v>0</v>
      </c>
      <c r="J32" s="138">
        <v>0</v>
      </c>
    </row>
    <row r="33" spans="1:10" hidden="1" x14ac:dyDescent="0.3">
      <c r="A33" s="136"/>
      <c r="B33" s="136"/>
      <c r="C33" s="20" t="s">
        <v>127</v>
      </c>
      <c r="D33" s="137">
        <f>IF(A33&gt;0,(VLOOKUP($A33,'Rate Table'!$A$3:$B$103,2,FALSE)),0)/10*12</f>
        <v>0</v>
      </c>
      <c r="E33" s="137"/>
      <c r="F33" s="138">
        <v>0</v>
      </c>
      <c r="G33" s="138">
        <v>0</v>
      </c>
      <c r="H33" s="138">
        <v>0</v>
      </c>
      <c r="I33" s="138">
        <v>0</v>
      </c>
      <c r="J33" s="138">
        <v>0</v>
      </c>
    </row>
    <row r="34" spans="1:10" hidden="1" x14ac:dyDescent="0.3">
      <c r="A34" s="136"/>
      <c r="B34" s="136"/>
      <c r="C34" s="20" t="s">
        <v>127</v>
      </c>
      <c r="D34" s="137">
        <f>IF(A34&gt;0,(VLOOKUP($A34,'Rate Table'!$A$3:$B$103,2,FALSE)),0)/10*12</f>
        <v>0</v>
      </c>
      <c r="E34" s="137"/>
      <c r="F34" s="138">
        <v>0</v>
      </c>
      <c r="G34" s="138">
        <v>0</v>
      </c>
      <c r="H34" s="138">
        <v>0</v>
      </c>
      <c r="I34" s="138">
        <v>0</v>
      </c>
      <c r="J34" s="138">
        <v>0</v>
      </c>
    </row>
    <row r="35" spans="1:10" hidden="1" x14ac:dyDescent="0.3">
      <c r="A35" s="136"/>
      <c r="B35" s="136"/>
      <c r="C35" s="20" t="s">
        <v>127</v>
      </c>
      <c r="D35" s="137">
        <f>IF(A35&gt;0,(VLOOKUP($A35,'Rate Table'!$A$3:$B$103,2,FALSE)),0)/10*12</f>
        <v>0</v>
      </c>
      <c r="E35" s="137"/>
      <c r="F35" s="138">
        <v>0</v>
      </c>
      <c r="G35" s="138">
        <v>0</v>
      </c>
      <c r="H35" s="138">
        <v>0</v>
      </c>
      <c r="I35" s="138">
        <v>0</v>
      </c>
      <c r="J35" s="138">
        <v>0</v>
      </c>
    </row>
    <row r="36" spans="1:10" x14ac:dyDescent="0.3">
      <c r="A36" s="33" t="s">
        <v>129</v>
      </c>
      <c r="B36" s="33"/>
      <c r="C36" s="33"/>
      <c r="D36" s="34"/>
      <c r="E36" s="34"/>
      <c r="F36" s="35">
        <f>SUM(F5:F35)</f>
        <v>0</v>
      </c>
      <c r="G36" s="35">
        <f>SUM(G5:G35)</f>
        <v>0</v>
      </c>
      <c r="H36" s="35">
        <f>SUM(H5:H35)</f>
        <v>0</v>
      </c>
      <c r="I36" s="35">
        <f>SUM(I5:I35)</f>
        <v>0</v>
      </c>
      <c r="J36" s="35">
        <f>SUM(J5:J35)</f>
        <v>0</v>
      </c>
    </row>
    <row r="37" spans="1:10" x14ac:dyDescent="0.3">
      <c r="A37" s="407" t="s">
        <v>53</v>
      </c>
      <c r="B37" s="399"/>
      <c r="C37" s="399"/>
      <c r="D37" s="399"/>
      <c r="E37" s="399"/>
      <c r="F37" s="399"/>
      <c r="G37" s="399"/>
      <c r="H37" s="399"/>
      <c r="I37" s="399"/>
      <c r="J37" s="399"/>
    </row>
    <row r="38" spans="1:10" x14ac:dyDescent="0.3">
      <c r="A38" s="358"/>
      <c r="B38" s="203"/>
      <c r="C38" s="20"/>
      <c r="D38" s="357">
        <v>0</v>
      </c>
      <c r="E38" s="259"/>
      <c r="F38" s="138">
        <v>0</v>
      </c>
      <c r="G38" s="138">
        <v>0</v>
      </c>
      <c r="H38" s="138">
        <v>0</v>
      </c>
      <c r="I38" s="138">
        <v>0</v>
      </c>
      <c r="J38" s="138">
        <v>0</v>
      </c>
    </row>
    <row r="39" spans="1:10" x14ac:dyDescent="0.3">
      <c r="A39" s="358"/>
      <c r="B39" s="203"/>
      <c r="C39" s="20"/>
      <c r="D39" s="357">
        <v>0</v>
      </c>
      <c r="E39" s="259"/>
      <c r="F39" s="138">
        <v>0</v>
      </c>
      <c r="G39" s="138">
        <v>0</v>
      </c>
      <c r="H39" s="138">
        <v>0</v>
      </c>
      <c r="I39" s="138">
        <v>0</v>
      </c>
      <c r="J39" s="138">
        <v>0</v>
      </c>
    </row>
    <row r="40" spans="1:10" x14ac:dyDescent="0.3">
      <c r="A40" s="358"/>
      <c r="B40" s="203"/>
      <c r="C40" s="20"/>
      <c r="D40" s="357">
        <v>0</v>
      </c>
      <c r="E40" s="259"/>
      <c r="F40" s="138">
        <v>0</v>
      </c>
      <c r="G40" s="138">
        <v>0</v>
      </c>
      <c r="H40" s="138">
        <v>0</v>
      </c>
      <c r="I40" s="138">
        <v>0</v>
      </c>
      <c r="J40" s="138">
        <v>0</v>
      </c>
    </row>
    <row r="41" spans="1:10" x14ac:dyDescent="0.3">
      <c r="A41" s="358"/>
      <c r="B41" s="203"/>
      <c r="C41" s="20"/>
      <c r="D41" s="357">
        <v>0</v>
      </c>
      <c r="E41" s="259"/>
      <c r="F41" s="138">
        <v>0</v>
      </c>
      <c r="G41" s="138">
        <v>0</v>
      </c>
      <c r="H41" s="138">
        <v>0</v>
      </c>
      <c r="I41" s="138">
        <v>0</v>
      </c>
      <c r="J41" s="138">
        <v>0</v>
      </c>
    </row>
    <row r="42" spans="1:10" x14ac:dyDescent="0.3">
      <c r="A42" s="358"/>
      <c r="B42" s="203"/>
      <c r="C42" s="20"/>
      <c r="D42" s="357">
        <v>0</v>
      </c>
      <c r="E42" s="259"/>
      <c r="F42" s="138">
        <v>0</v>
      </c>
      <c r="G42" s="138">
        <v>0</v>
      </c>
      <c r="H42" s="138">
        <v>0</v>
      </c>
      <c r="I42" s="138">
        <v>0</v>
      </c>
      <c r="J42" s="138">
        <v>0</v>
      </c>
    </row>
    <row r="43" spans="1:10" x14ac:dyDescent="0.3">
      <c r="A43" s="358"/>
      <c r="B43" s="203"/>
      <c r="C43" s="20"/>
      <c r="D43" s="357">
        <v>0</v>
      </c>
      <c r="E43" s="259"/>
      <c r="F43" s="138">
        <v>0</v>
      </c>
      <c r="G43" s="138">
        <v>0</v>
      </c>
      <c r="H43" s="138">
        <v>0</v>
      </c>
      <c r="I43" s="138">
        <v>0</v>
      </c>
      <c r="J43" s="138">
        <v>0</v>
      </c>
    </row>
    <row r="44" spans="1:10" x14ac:dyDescent="0.3">
      <c r="A44" s="358"/>
      <c r="B44" s="203"/>
      <c r="C44" s="20"/>
      <c r="D44" s="357">
        <v>0</v>
      </c>
      <c r="E44" s="259"/>
      <c r="F44" s="138">
        <v>0</v>
      </c>
      <c r="G44" s="138">
        <v>0</v>
      </c>
      <c r="H44" s="138">
        <v>0</v>
      </c>
      <c r="I44" s="138">
        <v>0</v>
      </c>
      <c r="J44" s="138">
        <v>0</v>
      </c>
    </row>
    <row r="45" spans="1:10" x14ac:dyDescent="0.3">
      <c r="A45" s="33" t="s">
        <v>129</v>
      </c>
      <c r="B45" s="33"/>
      <c r="C45" s="31"/>
      <c r="D45" s="34"/>
      <c r="E45" s="34"/>
      <c r="F45" s="35">
        <f>SUM(F38:F44)</f>
        <v>0</v>
      </c>
      <c r="G45" s="35">
        <f>SUM(G38:G44)</f>
        <v>0</v>
      </c>
      <c r="H45" s="35">
        <f>SUM(H38:H44)</f>
        <v>0</v>
      </c>
      <c r="I45" s="35">
        <f>SUM(I38:I44)</f>
        <v>0</v>
      </c>
      <c r="J45" s="35">
        <f>SUM(J38:J44)</f>
        <v>0</v>
      </c>
    </row>
    <row r="46" spans="1:10" x14ac:dyDescent="0.3">
      <c r="A46" s="407" t="s">
        <v>130</v>
      </c>
      <c r="B46" s="399"/>
      <c r="C46" s="399"/>
      <c r="D46" s="399"/>
      <c r="E46" s="399"/>
      <c r="F46" s="399"/>
      <c r="G46" s="399"/>
      <c r="H46" s="399"/>
      <c r="I46" s="399"/>
      <c r="J46" s="399"/>
    </row>
    <row r="47" spans="1:10" x14ac:dyDescent="0.3">
      <c r="A47" s="358"/>
      <c r="B47" s="203"/>
      <c r="C47" s="20"/>
      <c r="D47" s="357">
        <v>0</v>
      </c>
      <c r="E47" s="259"/>
      <c r="F47" s="138">
        <v>0</v>
      </c>
      <c r="G47" s="138">
        <v>0</v>
      </c>
      <c r="H47" s="138">
        <v>0</v>
      </c>
      <c r="I47" s="138">
        <v>0</v>
      </c>
      <c r="J47" s="138">
        <v>0</v>
      </c>
    </row>
    <row r="48" spans="1:10" x14ac:dyDescent="0.3">
      <c r="A48" s="358"/>
      <c r="B48" s="203"/>
      <c r="C48" s="20"/>
      <c r="D48" s="357">
        <v>0</v>
      </c>
      <c r="E48" s="259"/>
      <c r="F48" s="138">
        <v>0</v>
      </c>
      <c r="G48" s="138">
        <v>0</v>
      </c>
      <c r="H48" s="138">
        <v>0</v>
      </c>
      <c r="I48" s="138">
        <v>0</v>
      </c>
      <c r="J48" s="138">
        <v>0</v>
      </c>
    </row>
    <row r="49" spans="1:10" x14ac:dyDescent="0.3">
      <c r="A49" s="358"/>
      <c r="B49" s="203"/>
      <c r="C49" s="20"/>
      <c r="D49" s="357">
        <v>0</v>
      </c>
      <c r="E49" s="259"/>
      <c r="F49" s="138">
        <v>0</v>
      </c>
      <c r="G49" s="138">
        <v>0</v>
      </c>
      <c r="H49" s="138">
        <v>0</v>
      </c>
      <c r="I49" s="138">
        <v>0</v>
      </c>
      <c r="J49" s="138">
        <v>0</v>
      </c>
    </row>
    <row r="50" spans="1:10" x14ac:dyDescent="0.3">
      <c r="A50" s="358"/>
      <c r="B50" s="203"/>
      <c r="C50" s="20"/>
      <c r="D50" s="357">
        <v>0</v>
      </c>
      <c r="E50" s="259"/>
      <c r="F50" s="138">
        <v>0</v>
      </c>
      <c r="G50" s="138">
        <v>0</v>
      </c>
      <c r="H50" s="138">
        <v>0</v>
      </c>
      <c r="I50" s="138">
        <v>0</v>
      </c>
      <c r="J50" s="138">
        <v>0</v>
      </c>
    </row>
    <row r="51" spans="1:10" x14ac:dyDescent="0.3">
      <c r="A51" s="358"/>
      <c r="B51" s="203"/>
      <c r="C51" s="20"/>
      <c r="D51" s="357">
        <v>0</v>
      </c>
      <c r="E51" s="259"/>
      <c r="F51" s="138">
        <v>0</v>
      </c>
      <c r="G51" s="138">
        <v>0</v>
      </c>
      <c r="H51" s="138">
        <v>0</v>
      </c>
      <c r="I51" s="138">
        <v>0</v>
      </c>
      <c r="J51" s="138">
        <v>0</v>
      </c>
    </row>
    <row r="52" spans="1:10" x14ac:dyDescent="0.3">
      <c r="A52" s="358"/>
      <c r="B52" s="203"/>
      <c r="C52" s="20"/>
      <c r="D52" s="357">
        <v>0</v>
      </c>
      <c r="E52" s="259"/>
      <c r="F52" s="138">
        <v>0</v>
      </c>
      <c r="G52" s="138">
        <v>0</v>
      </c>
      <c r="H52" s="138">
        <v>0</v>
      </c>
      <c r="I52" s="138">
        <v>0</v>
      </c>
      <c r="J52" s="138">
        <v>0</v>
      </c>
    </row>
    <row r="53" spans="1:10" x14ac:dyDescent="0.3">
      <c r="A53" s="33" t="s">
        <v>129</v>
      </c>
      <c r="B53" s="33"/>
      <c r="C53" s="31"/>
      <c r="D53" s="34"/>
      <c r="E53" s="34"/>
      <c r="F53" s="35">
        <f>SUM(F47:F52)</f>
        <v>0</v>
      </c>
      <c r="G53" s="35">
        <f>SUM(G47:G52)</f>
        <v>0</v>
      </c>
      <c r="H53" s="35">
        <f>SUM(H47:H52)</f>
        <v>0</v>
      </c>
      <c r="I53" s="35">
        <f>SUM(I47:I52)</f>
        <v>0</v>
      </c>
      <c r="J53" s="35">
        <f>SUM(J47:J52)</f>
        <v>0</v>
      </c>
    </row>
    <row r="54" spans="1:10" x14ac:dyDescent="0.3">
      <c r="A54" s="407" t="s">
        <v>59</v>
      </c>
      <c r="B54" s="399"/>
      <c r="C54" s="399"/>
      <c r="D54" s="399"/>
      <c r="E54" s="399"/>
      <c r="F54" s="399"/>
      <c r="G54" s="399"/>
      <c r="H54" s="399"/>
      <c r="I54" s="399"/>
      <c r="J54" s="399"/>
    </row>
    <row r="55" spans="1:10" x14ac:dyDescent="0.3">
      <c r="A55" s="202"/>
      <c r="B55" s="203"/>
      <c r="C55" s="20"/>
      <c r="D55" s="373">
        <f t="shared" ref="D55:D60" si="0">IF(A55&gt;0,VLOOKUP($A55,Post_Doc_Labor,2,FALSE),0)</f>
        <v>0</v>
      </c>
      <c r="E55" s="259"/>
      <c r="F55" s="138">
        <v>0</v>
      </c>
      <c r="G55" s="138">
        <v>0</v>
      </c>
      <c r="H55" s="138">
        <v>0</v>
      </c>
      <c r="I55" s="138">
        <v>0</v>
      </c>
      <c r="J55" s="138">
        <v>0</v>
      </c>
    </row>
    <row r="56" spans="1:10" x14ac:dyDescent="0.3">
      <c r="A56" s="202"/>
      <c r="B56" s="203"/>
      <c r="C56" s="20"/>
      <c r="D56" s="373">
        <f t="shared" si="0"/>
        <v>0</v>
      </c>
      <c r="E56" s="259"/>
      <c r="F56" s="138">
        <v>0</v>
      </c>
      <c r="G56" s="138">
        <v>0</v>
      </c>
      <c r="H56" s="138">
        <v>0</v>
      </c>
      <c r="I56" s="138">
        <v>0</v>
      </c>
      <c r="J56" s="138">
        <v>0</v>
      </c>
    </row>
    <row r="57" spans="1:10" x14ac:dyDescent="0.3">
      <c r="A57" s="202"/>
      <c r="B57" s="203"/>
      <c r="C57" s="20"/>
      <c r="D57" s="373">
        <f t="shared" si="0"/>
        <v>0</v>
      </c>
      <c r="E57" s="259"/>
      <c r="F57" s="138">
        <v>0</v>
      </c>
      <c r="G57" s="138">
        <v>0</v>
      </c>
      <c r="H57" s="138">
        <v>0</v>
      </c>
      <c r="I57" s="138">
        <v>0</v>
      </c>
      <c r="J57" s="138">
        <v>0</v>
      </c>
    </row>
    <row r="58" spans="1:10" x14ac:dyDescent="0.3">
      <c r="A58" s="202"/>
      <c r="B58" s="203"/>
      <c r="C58" s="20"/>
      <c r="D58" s="373">
        <f t="shared" si="0"/>
        <v>0</v>
      </c>
      <c r="E58" s="259"/>
      <c r="F58" s="138">
        <v>0</v>
      </c>
      <c r="G58" s="138">
        <v>0</v>
      </c>
      <c r="H58" s="138">
        <v>0</v>
      </c>
      <c r="I58" s="138">
        <v>0</v>
      </c>
      <c r="J58" s="138">
        <v>0</v>
      </c>
    </row>
    <row r="59" spans="1:10" x14ac:dyDescent="0.3">
      <c r="A59" s="202"/>
      <c r="B59" s="203"/>
      <c r="C59" s="20"/>
      <c r="D59" s="373">
        <f t="shared" si="0"/>
        <v>0</v>
      </c>
      <c r="E59" s="259"/>
      <c r="F59" s="138">
        <v>0</v>
      </c>
      <c r="G59" s="138">
        <v>0</v>
      </c>
      <c r="H59" s="138">
        <v>0</v>
      </c>
      <c r="I59" s="138">
        <v>0</v>
      </c>
      <c r="J59" s="138">
        <v>0</v>
      </c>
    </row>
    <row r="60" spans="1:10" x14ac:dyDescent="0.3">
      <c r="A60" s="202"/>
      <c r="B60" s="203"/>
      <c r="C60" s="20"/>
      <c r="D60" s="373">
        <f t="shared" si="0"/>
        <v>0</v>
      </c>
      <c r="E60" s="259"/>
      <c r="F60" s="138">
        <v>0</v>
      </c>
      <c r="G60" s="138">
        <v>0</v>
      </c>
      <c r="H60" s="138">
        <v>0</v>
      </c>
      <c r="I60" s="138">
        <v>0</v>
      </c>
      <c r="J60" s="138">
        <v>0</v>
      </c>
    </row>
    <row r="61" spans="1:10" x14ac:dyDescent="0.3">
      <c r="A61" s="33" t="s">
        <v>129</v>
      </c>
      <c r="B61" s="33"/>
      <c r="C61" s="31"/>
      <c r="D61" s="34"/>
      <c r="E61" s="34"/>
      <c r="F61" s="35">
        <f>SUM(F55:F60)</f>
        <v>0</v>
      </c>
      <c r="G61" s="35">
        <f>SUM(G55:G60)</f>
        <v>0</v>
      </c>
      <c r="H61" s="35">
        <f>SUM(H55:H60)</f>
        <v>0</v>
      </c>
      <c r="I61" s="35">
        <f>SUM(I55:I60)</f>
        <v>0</v>
      </c>
      <c r="J61" s="35">
        <f>SUM(J55:J60)</f>
        <v>0</v>
      </c>
    </row>
    <row r="62" spans="1:10" x14ac:dyDescent="0.3">
      <c r="A62" s="407" t="s">
        <v>56</v>
      </c>
      <c r="B62" s="399"/>
      <c r="C62" s="399"/>
      <c r="D62" s="399"/>
      <c r="E62" s="399"/>
      <c r="F62" s="399"/>
      <c r="G62" s="399"/>
      <c r="H62" s="399"/>
      <c r="I62" s="399"/>
      <c r="J62" s="399"/>
    </row>
    <row r="63" spans="1:10" x14ac:dyDescent="0.3">
      <c r="A63" s="358"/>
      <c r="B63" s="203"/>
      <c r="C63" s="20"/>
      <c r="D63" s="357">
        <v>0</v>
      </c>
      <c r="E63" s="259"/>
      <c r="F63" s="138"/>
      <c r="G63" s="138">
        <v>0</v>
      </c>
      <c r="H63" s="138">
        <v>0</v>
      </c>
      <c r="I63" s="138">
        <v>0</v>
      </c>
      <c r="J63" s="138">
        <v>0</v>
      </c>
    </row>
    <row r="64" spans="1:10" x14ac:dyDescent="0.3">
      <c r="A64" s="358"/>
      <c r="B64" s="203"/>
      <c r="C64" s="20"/>
      <c r="D64" s="357">
        <v>0</v>
      </c>
      <c r="E64" s="259"/>
      <c r="F64" s="138">
        <v>0</v>
      </c>
      <c r="G64" s="138">
        <v>0</v>
      </c>
      <c r="H64" s="138">
        <v>0</v>
      </c>
      <c r="I64" s="138">
        <v>0</v>
      </c>
      <c r="J64" s="138">
        <v>0</v>
      </c>
    </row>
    <row r="65" spans="1:10" x14ac:dyDescent="0.3">
      <c r="A65" s="358"/>
      <c r="B65" s="203"/>
      <c r="C65" s="20"/>
      <c r="D65" s="357">
        <v>0</v>
      </c>
      <c r="E65" s="259"/>
      <c r="F65" s="138">
        <v>0</v>
      </c>
      <c r="G65" s="138">
        <v>0</v>
      </c>
      <c r="H65" s="138">
        <v>0</v>
      </c>
      <c r="I65" s="138">
        <v>0</v>
      </c>
      <c r="J65" s="138">
        <v>0</v>
      </c>
    </row>
    <row r="66" spans="1:10" x14ac:dyDescent="0.3">
      <c r="A66" s="358"/>
      <c r="B66" s="203"/>
      <c r="C66" s="20"/>
      <c r="D66" s="357">
        <v>0</v>
      </c>
      <c r="E66" s="259"/>
      <c r="F66" s="138">
        <v>0</v>
      </c>
      <c r="G66" s="138">
        <v>0</v>
      </c>
      <c r="H66" s="138">
        <v>0</v>
      </c>
      <c r="I66" s="138">
        <v>0</v>
      </c>
      <c r="J66" s="138">
        <v>0</v>
      </c>
    </row>
    <row r="67" spans="1:10" x14ac:dyDescent="0.3">
      <c r="A67" s="358"/>
      <c r="B67" s="203"/>
      <c r="C67" s="20"/>
      <c r="D67" s="357">
        <v>0</v>
      </c>
      <c r="E67" s="259"/>
      <c r="F67" s="138">
        <v>0</v>
      </c>
      <c r="G67" s="138">
        <v>0</v>
      </c>
      <c r="H67" s="138">
        <v>0</v>
      </c>
      <c r="I67" s="138">
        <v>0</v>
      </c>
      <c r="J67" s="138">
        <v>0</v>
      </c>
    </row>
    <row r="68" spans="1:10" x14ac:dyDescent="0.3">
      <c r="A68" s="358"/>
      <c r="B68" s="203"/>
      <c r="C68" s="20"/>
      <c r="D68" s="357">
        <v>0</v>
      </c>
      <c r="E68" s="259"/>
      <c r="F68" s="138">
        <v>0</v>
      </c>
      <c r="G68" s="138">
        <v>0</v>
      </c>
      <c r="H68" s="138">
        <v>0</v>
      </c>
      <c r="I68" s="138">
        <v>0</v>
      </c>
      <c r="J68" s="138">
        <v>0</v>
      </c>
    </row>
    <row r="69" spans="1:10" x14ac:dyDescent="0.3">
      <c r="A69" s="33" t="s">
        <v>129</v>
      </c>
      <c r="B69" s="33"/>
      <c r="C69" s="31"/>
      <c r="D69" s="1"/>
      <c r="E69" s="1"/>
      <c r="F69" s="59">
        <f>SUM(F63:F68)</f>
        <v>0</v>
      </c>
      <c r="G69" s="59">
        <f>SUM(G63:G68)</f>
        <v>0</v>
      </c>
      <c r="H69" s="59">
        <f>SUM(H63:H68)</f>
        <v>0</v>
      </c>
      <c r="I69" s="59">
        <f>SUM(I63:I68)</f>
        <v>0</v>
      </c>
      <c r="J69" s="59">
        <f>SUM(J63:J68)</f>
        <v>0</v>
      </c>
    </row>
    <row r="70" spans="1:10" x14ac:dyDescent="0.3">
      <c r="A70" s="36"/>
      <c r="B70" s="36"/>
      <c r="C70" s="36"/>
      <c r="D70" s="36"/>
      <c r="E70" s="36"/>
      <c r="F70" s="37"/>
      <c r="G70" s="37"/>
      <c r="H70" s="37"/>
      <c r="I70" s="37"/>
      <c r="J70" s="37"/>
    </row>
    <row r="71" spans="1:10" x14ac:dyDescent="0.3">
      <c r="A71" s="38"/>
      <c r="B71" s="38"/>
      <c r="C71" s="38"/>
      <c r="D71" s="38"/>
      <c r="E71" s="38"/>
      <c r="F71" s="39"/>
      <c r="G71" s="39"/>
      <c r="H71" s="39"/>
      <c r="I71" s="39"/>
      <c r="J71" s="39"/>
    </row>
    <row r="72" spans="1:10" x14ac:dyDescent="0.3">
      <c r="A72" s="33" t="s">
        <v>131</v>
      </c>
      <c r="B72" s="33"/>
      <c r="C72" s="40"/>
      <c r="D72" s="40"/>
      <c r="E72" s="40"/>
      <c r="F72" s="41">
        <f>F61+F53+F45+F36+F69</f>
        <v>0</v>
      </c>
      <c r="G72" s="41">
        <f>G61+G53+G45+G36+G69</f>
        <v>0</v>
      </c>
      <c r="H72" s="41">
        <f>H61+H53+H45+H36+H69</f>
        <v>0</v>
      </c>
      <c r="I72" s="41">
        <f>I61+I53+I45+I36+I69</f>
        <v>0</v>
      </c>
      <c r="J72" s="41">
        <f>J61+J53+J45+J36+J69</f>
        <v>0</v>
      </c>
    </row>
    <row r="73" spans="1:10" hidden="1" x14ac:dyDescent="0.3"/>
    <row r="74" spans="1:10" hidden="1" x14ac:dyDescent="0.3">
      <c r="A74" s="42" t="s">
        <v>132</v>
      </c>
      <c r="B74" s="42"/>
      <c r="C74" s="42"/>
      <c r="D74" s="42"/>
      <c r="E74" s="42"/>
      <c r="F74" s="43">
        <f>IF('Sponsor Cost'!C58="Yes",1+'Sponsor Cost'!$D$58,1)</f>
        <v>1.03</v>
      </c>
      <c r="G74" s="43">
        <f>IF('Sponsor Cost'!$C$59="Yes",Personnel!F$74*(1+'Sponsor Cost'!$D$58),Personnel!$F$74)</f>
        <v>1.0609</v>
      </c>
      <c r="H74" s="43">
        <f>IF('Sponsor Cost'!$C$59="Yes",Personnel!G$74*(1+'Sponsor Cost'!$D$58),Personnel!$F$74)</f>
        <v>1.092727</v>
      </c>
      <c r="I74" s="43">
        <f>IF('Sponsor Cost'!$C$59="Yes",Personnel!H$74*(1+'Sponsor Cost'!$D$58),Personnel!$F$74)</f>
        <v>1.1255088100000001</v>
      </c>
      <c r="J74" s="43">
        <f>IF('Sponsor Cost'!$C$59="Yes",Personnel!I$74*(1+'Sponsor Cost'!$D$58),Personnel!$F$74)</f>
        <v>1.1592740743000001</v>
      </c>
    </row>
    <row r="75" spans="1:10" hidden="1" x14ac:dyDescent="0.3">
      <c r="A75" s="42" t="s">
        <v>33</v>
      </c>
      <c r="B75" s="42"/>
      <c r="C75" s="63"/>
      <c r="D75" s="63"/>
      <c r="E75" s="63"/>
      <c r="F75" s="43"/>
      <c r="G75" s="43"/>
      <c r="H75" s="43"/>
      <c r="I75" s="43"/>
      <c r="J75" s="43"/>
    </row>
    <row r="76" spans="1:10" hidden="1" x14ac:dyDescent="0.3">
      <c r="A76" s="42" t="s">
        <v>34</v>
      </c>
      <c r="B76" s="42"/>
      <c r="C76" s="63"/>
      <c r="D76" s="63"/>
      <c r="E76" s="63"/>
      <c r="F76" s="63"/>
      <c r="G76" s="63"/>
      <c r="H76" s="63"/>
      <c r="I76" s="63"/>
      <c r="J76" s="63"/>
    </row>
    <row r="77" spans="1:10" hidden="1" x14ac:dyDescent="0.3">
      <c r="A77" s="63"/>
      <c r="B77" s="63"/>
      <c r="C77" s="63"/>
      <c r="D77" s="121"/>
      <c r="E77" s="121"/>
      <c r="F77" s="121"/>
      <c r="G77" s="121"/>
      <c r="H77" s="121"/>
      <c r="I77" s="121"/>
      <c r="J77" s="121"/>
    </row>
    <row r="78" spans="1:10" hidden="1" x14ac:dyDescent="0.3">
      <c r="D78" s="44"/>
      <c r="E78" s="44"/>
      <c r="F78" s="44"/>
      <c r="G78" s="44"/>
      <c r="H78" s="44"/>
      <c r="I78" s="44"/>
      <c r="J78" s="44"/>
    </row>
    <row r="79" spans="1:10" hidden="1" x14ac:dyDescent="0.3">
      <c r="D79" s="44"/>
      <c r="E79" s="44"/>
      <c r="F79" s="44"/>
      <c r="G79" s="44"/>
      <c r="H79" s="44"/>
      <c r="I79" s="44"/>
      <c r="J79" s="44"/>
    </row>
    <row r="80" spans="1:10" hidden="1" x14ac:dyDescent="0.3">
      <c r="A80" s="111" t="s">
        <v>133</v>
      </c>
      <c r="D80" s="44"/>
      <c r="E80" s="44"/>
      <c r="G80" s="44"/>
      <c r="H80" s="44"/>
      <c r="I80" s="44"/>
      <c r="J80" s="44"/>
    </row>
    <row r="81" spans="1:10" hidden="1" x14ac:dyDescent="0.3">
      <c r="A81" s="44" t="s">
        <v>33</v>
      </c>
      <c r="B81" s="105"/>
      <c r="C81" s="106"/>
      <c r="D81" s="44"/>
      <c r="E81" s="44"/>
      <c r="G81" s="44"/>
      <c r="H81" s="44"/>
      <c r="I81" s="44"/>
      <c r="J81" s="44"/>
    </row>
    <row r="82" spans="1:10" hidden="1" x14ac:dyDescent="0.3">
      <c r="A82" s="44" t="s">
        <v>34</v>
      </c>
      <c r="B82" s="105"/>
      <c r="C82" s="106"/>
      <c r="D82" s="44"/>
      <c r="E82" s="44"/>
      <c r="G82" s="44"/>
      <c r="H82" s="44"/>
      <c r="I82" s="44"/>
      <c r="J82" s="44"/>
    </row>
    <row r="83" spans="1:10" hidden="1" x14ac:dyDescent="0.3">
      <c r="A83" s="44" t="s">
        <v>134</v>
      </c>
      <c r="B83" s="105"/>
      <c r="C83" s="106"/>
      <c r="D83" s="44"/>
      <c r="E83" s="44"/>
      <c r="G83" s="44"/>
      <c r="H83" s="44"/>
      <c r="I83" s="44"/>
      <c r="J83" s="44"/>
    </row>
    <row r="84" spans="1:10" hidden="1" x14ac:dyDescent="0.3">
      <c r="A84" s="105"/>
      <c r="B84" s="105"/>
      <c r="C84" s="106"/>
    </row>
    <row r="85" spans="1:10" hidden="1" x14ac:dyDescent="0.3">
      <c r="A85" s="153" t="s">
        <v>135</v>
      </c>
      <c r="B85" s="105"/>
      <c r="C85" s="106"/>
    </row>
    <row r="86" spans="1:10" hidden="1" x14ac:dyDescent="0.3">
      <c r="A86" s="153" t="s">
        <v>128</v>
      </c>
      <c r="B86" s="105"/>
      <c r="C86" s="106"/>
    </row>
    <row r="87" spans="1:10" hidden="1" x14ac:dyDescent="0.3">
      <c r="A87" s="153" t="s">
        <v>136</v>
      </c>
      <c r="B87" s="105"/>
      <c r="C87" s="106"/>
    </row>
    <row r="88" spans="1:10" hidden="1" x14ac:dyDescent="0.3">
      <c r="A88" s="153" t="s">
        <v>25</v>
      </c>
      <c r="B88" s="105"/>
      <c r="C88" s="106"/>
    </row>
    <row r="89" spans="1:10" hidden="1" x14ac:dyDescent="0.3">
      <c r="A89" s="105"/>
      <c r="B89" s="105"/>
      <c r="C89" s="106"/>
    </row>
    <row r="90" spans="1:10" hidden="1" x14ac:dyDescent="0.3">
      <c r="A90" s="105"/>
      <c r="B90" s="105"/>
      <c r="C90" s="106"/>
    </row>
    <row r="91" spans="1:10" hidden="1" x14ac:dyDescent="0.3">
      <c r="A91" s="105"/>
      <c r="B91" s="105"/>
      <c r="C91" s="106"/>
    </row>
    <row r="92" spans="1:10" hidden="1" x14ac:dyDescent="0.3">
      <c r="A92" s="105"/>
      <c r="B92" s="105"/>
      <c r="C92" s="110"/>
    </row>
    <row r="93" spans="1:10" x14ac:dyDescent="0.3">
      <c r="A93" s="105"/>
      <c r="B93" s="105"/>
      <c r="C93" s="106"/>
    </row>
    <row r="94" spans="1:10" x14ac:dyDescent="0.3">
      <c r="A94" s="105"/>
      <c r="B94" s="105"/>
      <c r="C94" s="106"/>
    </row>
    <row r="95" spans="1:10" x14ac:dyDescent="0.3">
      <c r="A95" s="105"/>
      <c r="B95" s="105"/>
      <c r="C95" s="106"/>
    </row>
    <row r="96" spans="1:10" x14ac:dyDescent="0.3">
      <c r="A96" s="105"/>
      <c r="B96" s="105"/>
      <c r="C96" s="106"/>
    </row>
    <row r="97" spans="1:3" x14ac:dyDescent="0.3">
      <c r="A97" s="105"/>
      <c r="B97" s="105"/>
      <c r="C97" s="106"/>
    </row>
    <row r="98" spans="1:3" x14ac:dyDescent="0.3">
      <c r="A98" s="105"/>
      <c r="B98" s="105"/>
      <c r="C98" s="106"/>
    </row>
    <row r="99" spans="1:3" x14ac:dyDescent="0.3">
      <c r="A99" s="105"/>
      <c r="B99" s="105"/>
      <c r="C99" s="106"/>
    </row>
    <row r="100" spans="1:3" x14ac:dyDescent="0.3">
      <c r="A100" s="105"/>
      <c r="B100" s="105"/>
      <c r="C100" s="106"/>
    </row>
    <row r="101" spans="1:3" x14ac:dyDescent="0.3">
      <c r="A101" s="105"/>
      <c r="B101" s="105"/>
      <c r="C101" s="106"/>
    </row>
    <row r="102" spans="1:3" x14ac:dyDescent="0.3">
      <c r="A102" s="105"/>
      <c r="B102" s="105"/>
      <c r="C102" s="110"/>
    </row>
    <row r="103" spans="1:3" x14ac:dyDescent="0.3">
      <c r="A103" s="105"/>
      <c r="B103" s="105"/>
      <c r="C103" s="106"/>
    </row>
    <row r="104" spans="1:3" x14ac:dyDescent="0.3">
      <c r="A104" s="105"/>
      <c r="B104" s="105"/>
      <c r="C104" s="106"/>
    </row>
    <row r="105" spans="1:3" x14ac:dyDescent="0.3">
      <c r="A105" s="105"/>
      <c r="B105" s="105"/>
      <c r="C105" s="106"/>
    </row>
    <row r="106" spans="1:3" x14ac:dyDescent="0.3">
      <c r="A106" s="105"/>
      <c r="B106" s="105"/>
      <c r="C106" s="106"/>
    </row>
    <row r="107" spans="1:3" x14ac:dyDescent="0.3">
      <c r="A107" s="105"/>
      <c r="B107" s="105"/>
      <c r="C107" s="106"/>
    </row>
    <row r="108" spans="1:3" x14ac:dyDescent="0.3">
      <c r="A108" s="105"/>
      <c r="B108" s="105"/>
      <c r="C108" s="106"/>
    </row>
    <row r="109" spans="1:3" x14ac:dyDescent="0.3">
      <c r="A109" s="105"/>
      <c r="B109" s="105"/>
      <c r="C109" s="106"/>
    </row>
    <row r="110" spans="1:3" x14ac:dyDescent="0.3">
      <c r="A110" s="105"/>
      <c r="B110" s="105"/>
      <c r="C110" s="106"/>
    </row>
    <row r="111" spans="1:3" x14ac:dyDescent="0.3">
      <c r="A111" s="105"/>
      <c r="B111" s="105"/>
      <c r="C111" s="106"/>
    </row>
    <row r="112" spans="1:3" x14ac:dyDescent="0.3">
      <c r="A112" s="105"/>
      <c r="B112" s="105"/>
      <c r="C112" s="106"/>
    </row>
    <row r="113" spans="1:3" x14ac:dyDescent="0.3">
      <c r="A113" s="105"/>
      <c r="B113" s="105"/>
      <c r="C113" s="106"/>
    </row>
    <row r="114" spans="1:3" x14ac:dyDescent="0.3">
      <c r="A114" s="105"/>
      <c r="B114" s="105"/>
      <c r="C114" s="106"/>
    </row>
    <row r="115" spans="1:3" x14ac:dyDescent="0.3">
      <c r="A115" s="105"/>
      <c r="B115" s="105"/>
      <c r="C115" s="106"/>
    </row>
    <row r="116" spans="1:3" x14ac:dyDescent="0.3">
      <c r="A116" s="105"/>
      <c r="B116" s="105"/>
      <c r="C116" s="106"/>
    </row>
    <row r="117" spans="1:3" x14ac:dyDescent="0.3">
      <c r="A117" s="105"/>
      <c r="B117" s="105"/>
      <c r="C117" s="106"/>
    </row>
    <row r="118" spans="1:3" x14ac:dyDescent="0.3">
      <c r="A118" s="105"/>
      <c r="B118" s="105"/>
      <c r="C118" s="106"/>
    </row>
    <row r="119" spans="1:3" x14ac:dyDescent="0.3">
      <c r="A119" s="105"/>
      <c r="B119" s="105"/>
      <c r="C119" s="106"/>
    </row>
    <row r="120" spans="1:3" x14ac:dyDescent="0.3">
      <c r="A120" s="105"/>
      <c r="B120" s="105"/>
      <c r="C120" s="106"/>
    </row>
    <row r="121" spans="1:3" x14ac:dyDescent="0.3">
      <c r="A121" s="105"/>
      <c r="B121" s="105"/>
      <c r="C121" s="106"/>
    </row>
    <row r="122" spans="1:3" x14ac:dyDescent="0.3">
      <c r="A122" s="105"/>
      <c r="B122" s="105"/>
      <c r="C122" s="106"/>
    </row>
    <row r="123" spans="1:3" x14ac:dyDescent="0.3">
      <c r="A123" s="105"/>
      <c r="B123" s="105"/>
      <c r="C123" s="106"/>
    </row>
    <row r="124" spans="1:3" x14ac:dyDescent="0.3">
      <c r="A124" s="105"/>
      <c r="B124" s="105"/>
      <c r="C124" s="106"/>
    </row>
    <row r="125" spans="1:3" x14ac:dyDescent="0.3">
      <c r="A125" s="105"/>
      <c r="B125" s="105"/>
      <c r="C125" s="106"/>
    </row>
    <row r="126" spans="1:3" x14ac:dyDescent="0.3">
      <c r="A126" s="105"/>
      <c r="B126" s="105"/>
      <c r="C126" s="106"/>
    </row>
    <row r="127" spans="1:3" x14ac:dyDescent="0.3">
      <c r="A127" s="105"/>
      <c r="B127" s="105"/>
      <c r="C127" s="106"/>
    </row>
    <row r="128" spans="1:3" x14ac:dyDescent="0.3">
      <c r="A128" s="105"/>
      <c r="B128" s="105"/>
      <c r="C128" s="106"/>
    </row>
    <row r="129" spans="1:3" x14ac:dyDescent="0.3">
      <c r="A129" s="105"/>
      <c r="B129" s="105"/>
      <c r="C129" s="106"/>
    </row>
    <row r="130" spans="1:3" x14ac:dyDescent="0.3">
      <c r="A130" s="105"/>
      <c r="B130" s="105"/>
      <c r="C130" s="106"/>
    </row>
    <row r="131" spans="1:3" x14ac:dyDescent="0.3">
      <c r="A131" s="105"/>
      <c r="B131" s="105"/>
      <c r="C131" s="106"/>
    </row>
    <row r="132" spans="1:3" x14ac:dyDescent="0.3">
      <c r="A132" s="105"/>
      <c r="B132" s="105"/>
      <c r="C132" s="106"/>
    </row>
    <row r="133" spans="1:3" x14ac:dyDescent="0.3">
      <c r="A133" s="105"/>
      <c r="B133" s="105"/>
      <c r="C133" s="106"/>
    </row>
    <row r="134" spans="1:3" x14ac:dyDescent="0.3">
      <c r="A134" s="105"/>
      <c r="B134" s="105"/>
      <c r="C134" s="106"/>
    </row>
    <row r="135" spans="1:3" x14ac:dyDescent="0.3">
      <c r="A135" s="105"/>
      <c r="B135" s="105"/>
      <c r="C135" s="106"/>
    </row>
  </sheetData>
  <sheetProtection algorithmName="SHA-512" hashValue="3QdwE3jFthL90/C4DYPUkLABl2fAAV/XHCNMeV6hn/ZdZnTE0whtAKlqRCCZmBGLvxTg50HHyvQBP/aeFVcsEQ==" saltValue="9OLCdam/O+ZwnRMx8sxKUA==" spinCount="100000" sheet="1" objects="1" scenarios="1"/>
  <mergeCells count="6">
    <mergeCell ref="F2:J2"/>
    <mergeCell ref="A37:J37"/>
    <mergeCell ref="A46:J46"/>
    <mergeCell ref="A62:J62"/>
    <mergeCell ref="A4:J4"/>
    <mergeCell ref="A54:J54"/>
  </mergeCells>
  <dataValidations count="7">
    <dataValidation type="list" allowBlank="1" showInputMessage="1" showErrorMessage="1" sqref="D2" xr:uid="{00000000-0002-0000-0200-000000000000}">
      <formula1>$A$75:$A$76</formula1>
    </dataValidation>
    <dataValidation type="list" allowBlank="1" showInputMessage="1" showErrorMessage="1" sqref="B16:B35" xr:uid="{00000000-0002-0000-0200-000001000000}">
      <formula1>$A$81:$A$83</formula1>
    </dataValidation>
    <dataValidation type="list" allowBlank="1" showInputMessage="1" showErrorMessage="1" sqref="C16:C35 C38:C44 C47:C52 C55:C60 C63:C68" xr:uid="{00000000-0002-0000-0200-000002000000}">
      <formula1>$A$85:$A$88</formula1>
    </dataValidation>
    <dataValidation type="list" allowBlank="1" showInputMessage="1" showErrorMessage="1" sqref="A55:A60" xr:uid="{00000000-0002-0000-0200-000003000000}">
      <formula1>Post_Doc</formula1>
    </dataValidation>
    <dataValidation type="list" allowBlank="1" showInputMessage="1" showErrorMessage="1" sqref="E5:E15" xr:uid="{00000000-0002-0000-0200-000004000000}">
      <formula1>"9,12"</formula1>
    </dataValidation>
    <dataValidation type="list" allowBlank="1" showInputMessage="1" showErrorMessage="1" promptTitle="Key Personnel" prompt="Identify thise faculty who will serve as Key Personnel on the project._x000a__x000a_Key personnel are those people who are essential to carrying out the work of a project, typically those responsible for the design, conduct and reporting of the research. _x000a_" sqref="B5:B15" xr:uid="{00000000-0002-0000-0200-000005000000}">
      <formula1>$A$81:$A$83</formula1>
    </dataValidation>
    <dataValidation type="list" allowBlank="1" showInputMessage="1" showErrorMessage="1" promptTitle="Academic, Calendar, Summer" prompt="Select the applicable period during which the effort will be committed. If multiple periods are anticipated, choose &quot;Calendar&quot;_x000a__x000a_If the effort will be cost shared or &quot;in-kind&quot;, select &quot;Cost Share&quot;" sqref="C5:C15" xr:uid="{00000000-0002-0000-0200-000006000000}">
      <formula1>$A$85:$A$88</formula1>
    </dataValidation>
  </dataValidations>
  <pageMargins left="0.7" right="0.7" top="0.75" bottom="0.75" header="0.3" footer="0.3"/>
  <pageSetup scale="65"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4"/>
  <sheetViews>
    <sheetView zoomScale="180" zoomScaleNormal="180" workbookViewId="0">
      <selection activeCell="C2" sqref="C2"/>
    </sheetView>
  </sheetViews>
  <sheetFormatPr defaultColWidth="8.6640625" defaultRowHeight="14.4" x14ac:dyDescent="0.3"/>
  <cols>
    <col min="1" max="1" width="13.6640625" bestFit="1" customWidth="1"/>
    <col min="2" max="2" width="11.33203125" bestFit="1" customWidth="1"/>
    <col min="3" max="3" width="11.6640625" customWidth="1"/>
    <col min="4" max="4" width="11.33203125" bestFit="1" customWidth="1"/>
  </cols>
  <sheetData>
    <row r="1" spans="1:4" x14ac:dyDescent="0.3">
      <c r="A1" s="17" t="s">
        <v>137</v>
      </c>
      <c r="B1" s="21" t="s">
        <v>138</v>
      </c>
      <c r="C1" s="21" t="s">
        <v>139</v>
      </c>
      <c r="D1" s="21" t="s">
        <v>140</v>
      </c>
    </row>
    <row r="2" spans="1:4" x14ac:dyDescent="0.3">
      <c r="A2" t="s">
        <v>52</v>
      </c>
      <c r="B2" s="287">
        <v>84500</v>
      </c>
      <c r="C2" s="286" t="s">
        <v>141</v>
      </c>
      <c r="D2" s="287">
        <f>IF(C2="Hour",B2*2080,IF(C2="Semester",(B2/5)*10,IF(C2="Academic",B2/10*12,IF(C2="Calendar",B2,IF(C2="Monthly",B2*12,0)))))</f>
        <v>101400</v>
      </c>
    </row>
    <row r="3" spans="1:4" x14ac:dyDescent="0.3">
      <c r="A3" s="222" t="s">
        <v>142</v>
      </c>
      <c r="B3" s="223">
        <v>45000</v>
      </c>
      <c r="C3" s="286" t="s">
        <v>141</v>
      </c>
      <c r="D3" s="287">
        <f>IF(C3="Hour",B3*2080,IF(C3="Semester",(B3/5)*10,IF(C3="Academic",B3/10*12,IF(C3="Calendar",B3,IF(C3="Monthly",B3*12,0)))))</f>
        <v>54000</v>
      </c>
    </row>
    <row r="4" spans="1:4" x14ac:dyDescent="0.3">
      <c r="A4" t="s">
        <v>143</v>
      </c>
      <c r="B4" s="215">
        <v>4000</v>
      </c>
      <c r="C4" s="286" t="s">
        <v>144</v>
      </c>
      <c r="D4" s="287">
        <f>IF(C4="Hour",B4*2080,IF(C4="Semester",(B4/5)*10,IF(C4="Academic",B4/10*12,IF(C4="Calendar",B4,IF(C4="Monthly",B4*12,0)))))</f>
        <v>8000</v>
      </c>
    </row>
    <row r="5" spans="1:4" x14ac:dyDescent="0.3">
      <c r="A5" s="222" t="s">
        <v>145</v>
      </c>
      <c r="B5" s="223">
        <v>46470</v>
      </c>
      <c r="C5" s="286" t="s">
        <v>141</v>
      </c>
      <c r="D5" s="287">
        <f>IF(C5="Hour",B5*2080,IF(C5="Semester",(B5/5)*10,IF(C5="Academic",B5/10*12,IF(C5="Calendar",B5,IF(C5="Monthly",B5*12,0)))))</f>
        <v>55764</v>
      </c>
    </row>
    <row r="6" spans="1:4" x14ac:dyDescent="0.3">
      <c r="A6" t="s">
        <v>146</v>
      </c>
      <c r="B6" s="215">
        <v>15</v>
      </c>
      <c r="C6" s="286" t="s">
        <v>141</v>
      </c>
      <c r="D6" s="287">
        <f>IF(C6="Hour",B6*2080,IF(C6="Semester",(B6/5)*10,IF(C6="Academic",B6/10*12,IF(C6="Calendar",B6,IF(C6="Monthly",B6*12,0)))))</f>
        <v>18</v>
      </c>
    </row>
    <row r="9" spans="1:4" hidden="1" x14ac:dyDescent="0.3"/>
    <row r="10" spans="1:4" hidden="1" x14ac:dyDescent="0.3">
      <c r="B10" t="s">
        <v>52</v>
      </c>
      <c r="C10" t="s">
        <v>147</v>
      </c>
    </row>
    <row r="11" spans="1:4" hidden="1" x14ac:dyDescent="0.3">
      <c r="B11" t="s">
        <v>142</v>
      </c>
      <c r="C11" t="s">
        <v>144</v>
      </c>
    </row>
    <row r="12" spans="1:4" hidden="1" x14ac:dyDescent="0.3">
      <c r="B12" t="s">
        <v>143</v>
      </c>
      <c r="C12" t="s">
        <v>141</v>
      </c>
    </row>
    <row r="13" spans="1:4" hidden="1" x14ac:dyDescent="0.3">
      <c r="B13" t="s">
        <v>145</v>
      </c>
      <c r="C13" t="s">
        <v>136</v>
      </c>
    </row>
    <row r="14" spans="1:4" hidden="1" x14ac:dyDescent="0.3">
      <c r="B14" t="s">
        <v>146</v>
      </c>
      <c r="C14" t="s">
        <v>148</v>
      </c>
    </row>
  </sheetData>
  <dataValidations count="2">
    <dataValidation type="list" allowBlank="1" showInputMessage="1" showErrorMessage="1" sqref="A2:A6" xr:uid="{00000000-0002-0000-0300-000000000000}">
      <formula1>$B$10:$B$14</formula1>
    </dataValidation>
    <dataValidation type="list" allowBlank="1" showInputMessage="1" showErrorMessage="1" sqref="C2:C6" xr:uid="{00000000-0002-0000-0300-000001000000}">
      <formula1>$C$10:$C$14</formula1>
    </dataValidation>
  </dataValidations>
  <pageMargins left="0.7" right="0.7" top="0.75" bottom="0.75" header="0.3" footer="0.3"/>
  <pageSetup orientation="portrait" horizontalDpi="1200" verticalDpi="120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113"/>
  <sheetViews>
    <sheetView zoomScaleNormal="100" workbookViewId="0">
      <pane xSplit="1" ySplit="3" topLeftCell="B51" activePane="bottomRight" state="frozen"/>
      <selection pane="topRight" activeCell="P125" sqref="P125"/>
      <selection pane="bottomLeft" activeCell="P125" sqref="P125"/>
      <selection pane="bottomRight" activeCell="S4" sqref="S4"/>
    </sheetView>
  </sheetViews>
  <sheetFormatPr defaultColWidth="9.109375" defaultRowHeight="14.4" x14ac:dyDescent="0.3"/>
  <cols>
    <col min="1" max="1" width="30.44140625" customWidth="1"/>
    <col min="2" max="6" width="11.44140625" bestFit="1" customWidth="1"/>
    <col min="7" max="7" width="5.44140625" customWidth="1"/>
    <col min="8" max="12" width="10.44140625" customWidth="1"/>
    <col min="13" max="13" width="5.44140625" customWidth="1"/>
    <col min="14" max="18" width="10.44140625" customWidth="1"/>
    <col min="19" max="19" width="5.44140625" customWidth="1"/>
    <col min="20" max="24" width="9.6640625" hidden="1" customWidth="1"/>
    <col min="25" max="25" width="13" hidden="1" customWidth="1"/>
    <col min="26" max="30" width="9.6640625" hidden="1" customWidth="1"/>
    <col min="31" max="39" width="13" hidden="1" customWidth="1"/>
  </cols>
  <sheetData>
    <row r="1" spans="1:30" ht="18" customHeight="1" x14ac:dyDescent="0.35">
      <c r="A1" s="28"/>
      <c r="B1" s="412" t="s">
        <v>51</v>
      </c>
      <c r="C1" s="397"/>
      <c r="D1" s="397"/>
      <c r="E1" s="397"/>
      <c r="F1" s="397"/>
      <c r="G1" s="334"/>
      <c r="H1" s="412" t="s">
        <v>58</v>
      </c>
      <c r="I1" s="397"/>
      <c r="J1" s="397"/>
      <c r="K1" s="397"/>
      <c r="L1" s="397"/>
      <c r="M1" s="334"/>
      <c r="N1" s="412" t="s">
        <v>149</v>
      </c>
      <c r="O1" s="397"/>
      <c r="P1" s="397"/>
      <c r="Q1" s="397"/>
      <c r="R1" s="397"/>
      <c r="S1" s="334"/>
      <c r="T1" s="408" t="s">
        <v>150</v>
      </c>
      <c r="U1" s="397"/>
      <c r="V1" s="397"/>
      <c r="W1" s="397"/>
      <c r="X1" s="397"/>
      <c r="Y1" s="334"/>
      <c r="Z1" s="408" t="s">
        <v>151</v>
      </c>
      <c r="AA1" s="397"/>
      <c r="AB1" s="397"/>
      <c r="AC1" s="397"/>
      <c r="AD1" s="397"/>
    </row>
    <row r="2" spans="1:30" x14ac:dyDescent="0.3">
      <c r="B2" s="335"/>
      <c r="C2" s="335"/>
      <c r="D2" s="335"/>
      <c r="E2" s="335"/>
      <c r="F2" s="335"/>
      <c r="G2" s="334"/>
      <c r="H2" s="335"/>
      <c r="I2" s="335"/>
      <c r="J2" s="336"/>
      <c r="K2" s="335"/>
      <c r="L2" s="335"/>
      <c r="M2" s="334"/>
      <c r="N2" s="335"/>
      <c r="O2" s="335"/>
      <c r="P2" s="335"/>
      <c r="Q2" s="335"/>
      <c r="R2" s="335"/>
      <c r="S2" s="334"/>
      <c r="T2" s="334"/>
      <c r="U2" s="334"/>
      <c r="V2" s="334"/>
      <c r="W2" s="334"/>
      <c r="X2" s="334"/>
      <c r="Y2" s="334"/>
      <c r="Z2" s="334"/>
      <c r="AA2" s="334"/>
      <c r="AB2" s="334"/>
      <c r="AC2" s="334"/>
      <c r="AD2" s="334"/>
    </row>
    <row r="3" spans="1:30" ht="15.6" customHeight="1" x14ac:dyDescent="0.3">
      <c r="A3" s="192" t="s">
        <v>122</v>
      </c>
      <c r="B3" s="23" t="str">
        <f>'Sponsor Cost'!B9</f>
        <v>Year 1</v>
      </c>
      <c r="C3" s="23" t="str">
        <f>'Sponsor Cost'!C9</f>
        <v>Year 2</v>
      </c>
      <c r="D3" s="23" t="str">
        <f>'Sponsor Cost'!D9</f>
        <v>Year 3</v>
      </c>
      <c r="E3" s="23" t="str">
        <f>'Sponsor Cost'!E9</f>
        <v>Year 4</v>
      </c>
      <c r="F3" s="23" t="str">
        <f>'Sponsor Cost'!F9</f>
        <v>Year 5</v>
      </c>
      <c r="G3" s="2"/>
      <c r="H3" s="23" t="str">
        <f>'Sponsor Cost'!B9</f>
        <v>Year 1</v>
      </c>
      <c r="I3" s="23" t="str">
        <f>'Sponsor Cost'!C9</f>
        <v>Year 2</v>
      </c>
      <c r="J3" s="23" t="str">
        <f>'Sponsor Cost'!D9</f>
        <v>Year 3</v>
      </c>
      <c r="K3" s="23" t="str">
        <f>'Sponsor Cost'!E9</f>
        <v>Year 4</v>
      </c>
      <c r="L3" s="23" t="str">
        <f>'Sponsor Cost'!F9</f>
        <v>Year 5</v>
      </c>
      <c r="M3" s="2"/>
      <c r="N3" s="23" t="str">
        <f>H3</f>
        <v>Year 1</v>
      </c>
      <c r="O3" s="23" t="str">
        <f>I3</f>
        <v>Year 2</v>
      </c>
      <c r="P3" s="23" t="str">
        <f>J3</f>
        <v>Year 3</v>
      </c>
      <c r="Q3" s="23" t="str">
        <f>K3</f>
        <v>Year 4</v>
      </c>
      <c r="R3" s="23" t="str">
        <f>L3</f>
        <v>Year 5</v>
      </c>
      <c r="T3" s="23" t="str">
        <f>'FTE Table'!B3</f>
        <v>Year 1</v>
      </c>
      <c r="U3" s="23" t="str">
        <f>'FTE Table'!C3</f>
        <v>Year 2</v>
      </c>
      <c r="V3" s="23" t="str">
        <f>'FTE Table'!D3</f>
        <v>Year 3</v>
      </c>
      <c r="W3" s="23" t="str">
        <f>'FTE Table'!E3</f>
        <v>Year 4</v>
      </c>
      <c r="X3" s="23" t="str">
        <f>'FTE Table'!F3</f>
        <v>Year 5</v>
      </c>
      <c r="Z3" s="23" t="str">
        <f>T3</f>
        <v>Year 1</v>
      </c>
      <c r="AA3" s="23" t="str">
        <f>U3</f>
        <v>Year 2</v>
      </c>
      <c r="AB3" s="23" t="str">
        <f>V3</f>
        <v>Year 3</v>
      </c>
      <c r="AC3" s="23" t="str">
        <f>W3</f>
        <v>Year 4</v>
      </c>
      <c r="AD3" s="23" t="str">
        <f>X3</f>
        <v>Year 5</v>
      </c>
    </row>
    <row r="4" spans="1:30" ht="15.6" customHeight="1" x14ac:dyDescent="0.3">
      <c r="A4" s="154"/>
      <c r="B4" s="409" t="s">
        <v>104</v>
      </c>
      <c r="C4" s="397"/>
      <c r="D4" s="397"/>
      <c r="E4" s="397"/>
      <c r="F4" s="397"/>
      <c r="G4" s="397"/>
      <c r="H4" s="397"/>
      <c r="I4" s="397"/>
      <c r="J4" s="397"/>
      <c r="K4" s="397"/>
      <c r="L4" s="397"/>
      <c r="M4" s="397"/>
      <c r="N4" s="397"/>
      <c r="O4" s="397"/>
      <c r="P4" s="397"/>
      <c r="Q4" s="397"/>
      <c r="R4" s="397"/>
      <c r="S4" s="131"/>
      <c r="T4" s="46"/>
      <c r="U4" s="46"/>
      <c r="V4" s="46"/>
      <c r="W4" s="46"/>
      <c r="X4" s="46"/>
      <c r="Z4" s="46"/>
      <c r="AA4" s="46"/>
      <c r="AB4" s="46"/>
      <c r="AC4" s="46"/>
      <c r="AD4" s="46"/>
    </row>
    <row r="5" spans="1:30" x14ac:dyDescent="0.3">
      <c r="A5" s="294">
        <f>IF(Personnel!C5="Cost Share","",Personnel!A5)</f>
        <v>0</v>
      </c>
      <c r="B5" s="48">
        <f>ROUND(IF(Personnel!$C5="Cost Share",0,IF(Personnel!$D$2="No",(Personnel!F5/Personnel!$E5)*Personnel!$D5*Personnel!F$74,IF((Personnel!$D5*Personnel!F$74)&lt;Salary_Cap,(Personnel!F5/Personnel!$E5)*Personnel!$D5*Personnel!F$74,(Personnel!F5/Personnel!$E5)*Salary_Cap))),0)</f>
        <v>0</v>
      </c>
      <c r="C5" s="48">
        <f>ROUND(IF(Personnel!$C5="Cost Share",0,IF(Personnel!$D$2="No",(Personnel!G5/Personnel!$E5)*Personnel!$D5*Personnel!G$74,IF((Personnel!$D5*Personnel!G$74)&lt;Salary_Cap,(Personnel!G5/Personnel!$E5)*Personnel!$D5*Personnel!G$74,(Personnel!G5/Personnel!$E5)*Salary_Cap))),0)</f>
        <v>0</v>
      </c>
      <c r="D5" s="48">
        <f>ROUND(IF(Personnel!$C5="Cost Share",0,IF(Personnel!$D$2="No",(Personnel!H5/Personnel!$E5)*Personnel!$D5*Personnel!H$74,IF((Personnel!$D5*Personnel!H$74)&lt;Salary_Cap,(Personnel!H5/Personnel!$E5)*Personnel!$D5*Personnel!H$74,(Personnel!H5/Personnel!$E5)*Salary_Cap))),0)</f>
        <v>0</v>
      </c>
      <c r="E5" s="48">
        <f>ROUND(IF(Personnel!$C5="Cost Share",0,IF(Personnel!$D$2="No",(Personnel!I5/Personnel!$E5)*Personnel!$D5*Personnel!I$74,IF((Personnel!$D5*Personnel!I$74)&lt;Salary_Cap,(Personnel!I5/Personnel!$E5)*Personnel!$D5*Personnel!I$74,(Personnel!I5/Personnel!$E5)*Salary_Cap))),0)</f>
        <v>0</v>
      </c>
      <c r="F5" s="48">
        <f>ROUND(IF(Personnel!$C5="Cost Share",0,IF(Personnel!$D$2="No",(Personnel!J5/Personnel!$E5)*Personnel!$D5*Personnel!J$74,IF((Personnel!$D5*Personnel!J$74)&lt;Salary_Cap,(Personnel!J5/Personnel!$E5)*Personnel!$D5*Personnel!J$74,(Personnel!J5/Personnel!$E5)*Salary_Cap))),0)</f>
        <v>0</v>
      </c>
      <c r="H5" s="48">
        <f>ROUND(IF(Personnel!$C5&lt;&gt;"Sum",B5*'Rate Table'!$E$3,'Labor Detail'!B5*'Rate Table'!$E$7),0)</f>
        <v>0</v>
      </c>
      <c r="I5" s="48">
        <f>ROUND(IF(Personnel!$C5&lt;&gt;"Sum",C5*'Rate Table'!$E$3,'Labor Detail'!C5*'Rate Table'!$E$7),0)</f>
        <v>0</v>
      </c>
      <c r="J5" s="48">
        <f>ROUND(IF(Personnel!$C5&lt;&gt;"Sum",D5*'Rate Table'!$E$3,'Labor Detail'!D5*'Rate Table'!$E$7),0)</f>
        <v>0</v>
      </c>
      <c r="K5" s="48">
        <f>ROUND(IF(Personnel!$C5&lt;&gt;"Sum",E5*'Rate Table'!$E$3,'Labor Detail'!E5*'Rate Table'!$E$7),0)</f>
        <v>0</v>
      </c>
      <c r="L5" s="48">
        <f>ROUND(IF(Personnel!$C5&lt;&gt;"Sum",F5*'Rate Table'!$E$3,'Labor Detail'!F5*'Rate Table'!$E$7),0)</f>
        <v>0</v>
      </c>
      <c r="M5" s="49"/>
      <c r="N5" s="48">
        <f>IF(Personnel!$C5="Cost Share",0,2080*'FTE Table'!B5)</f>
        <v>0</v>
      </c>
      <c r="O5" s="48">
        <f>IF(Personnel!$C5="Cost Share",0,2080*'FTE Table'!C5)</f>
        <v>0</v>
      </c>
      <c r="P5" s="48">
        <f>IF(Personnel!$C5="Cost Share",0,2080*'FTE Table'!D5)</f>
        <v>0</v>
      </c>
      <c r="Q5" s="48">
        <f>IF(Personnel!$C5="Cost Share",0,2080*'FTE Table'!E5)</f>
        <v>0</v>
      </c>
      <c r="R5" s="48">
        <f>IF(Personnel!$C5="Cost Share",0,2080*'FTE Table'!F5)</f>
        <v>0</v>
      </c>
      <c r="T5" s="19">
        <f>IF(Personnel!$C5="Cost Share",0,IF(Personnel!$D$2="yes",IF(Personnel!$D5*Personnel!F$74&gt;Salary_Cap,(Personnel!$D5*'FTE Table'!B5*Personnel!F$74)-('FTE Table'!B5*Salary_Cap),0),0))</f>
        <v>0</v>
      </c>
      <c r="U5" s="19">
        <f>IF(Personnel!$C5="Cost Share",0,IF(Personnel!$D$2="yes",IF(Personnel!$D5*Personnel!G$74&gt;Salary_Cap,(Personnel!$D5*'FTE Table'!C5*Personnel!G$74)-('FTE Table'!C5*Salary_Cap),0),0))</f>
        <v>0</v>
      </c>
      <c r="V5" s="19">
        <f>IF(Personnel!$C5="Cost Share",0,IF(Personnel!$D$2="yes",IF(Personnel!$D5*Personnel!H$74&gt;Salary_Cap,(Personnel!$D5*'FTE Table'!D5*Personnel!H$74)-('FTE Table'!D5*Salary_Cap),0),0))</f>
        <v>0</v>
      </c>
      <c r="W5" s="19">
        <f>IF(Personnel!$C5="Cost Share",0,IF(Personnel!$D$2="yes",IF(Personnel!$D5*Personnel!I$74&gt;Salary_Cap,(Personnel!$D5*'FTE Table'!E5*Personnel!I$74)-('FTE Table'!E5*Salary_Cap),0),0))</f>
        <v>0</v>
      </c>
      <c r="X5" s="19">
        <f>IF(Personnel!$C5="Cost Share",0,IF(Personnel!$D$2="yes",IF(Personnel!$D5*Personnel!J$74&gt;Salary_Cap,(Personnel!$D5*'FTE Table'!F5*Personnel!J$74)-('FTE Table'!F5*Salary_Cap),0),0))</f>
        <v>0</v>
      </c>
      <c r="Z5" s="19">
        <f>IF(Personnel!$C5="Cost Share",0,IF(T5&gt;0,IF(Personnel!$C5&lt;&gt;"Sum",(T5*0.22883)+('FTE Table'!B5*5659),(T5*0.22883)),0))</f>
        <v>0</v>
      </c>
      <c r="AA5" s="19">
        <f>IF(Personnel!$C5="Cost Share",0,IF(U5&gt;0,IF(Personnel!$C5&lt;&gt;"Sum",(U5*0.22883)+('FTE Table'!C5*5659),(U5*0.22883)),0))</f>
        <v>0</v>
      </c>
      <c r="AB5" s="19">
        <f>IF(Personnel!$C5="Cost Share",0,IF(V5&gt;0,IF(Personnel!$C5&lt;&gt;"Sum",(V5*0.22883)+('FTE Table'!D5*5659),(V5*0.22883)),0))</f>
        <v>0</v>
      </c>
      <c r="AC5" s="19">
        <f>IF(Personnel!$C5="Cost Share",0,IF(W5&gt;0,IF(Personnel!$C5&lt;&gt;"Sum",(W5*0.22883)+('FTE Table'!E5*5659),(W5*0.22883)),0))</f>
        <v>0</v>
      </c>
      <c r="AD5" s="19">
        <f>IF(Personnel!$C5="Cost Share",0,IF(X5&gt;0,IF(Personnel!$C5&lt;&gt;"Sum",(X5*0.22883)+('FTE Table'!F5*5659),(X5*0.22883)),0))</f>
        <v>0</v>
      </c>
    </row>
    <row r="6" spans="1:30" x14ac:dyDescent="0.3">
      <c r="A6" s="294">
        <f>IF(Personnel!C6="Cost Share","",Personnel!A6)</f>
        <v>0</v>
      </c>
      <c r="B6" s="48">
        <f>ROUND(IF(Personnel!$C6="Cost Share",0,IF(Personnel!$D$2="No",(Personnel!F6/Personnel!$E6)*Personnel!$D6*Personnel!F$74,IF((Personnel!$D6*Personnel!F$74)&lt;Salary_Cap,(Personnel!F6/Personnel!$E6)*Personnel!$D6*Personnel!F$74,(Personnel!F6/Personnel!$E6)*Salary_Cap))),0)</f>
        <v>0</v>
      </c>
      <c r="C6" s="48">
        <f>ROUND(IF(Personnel!$C6="Cost Share",0,IF(Personnel!$D$2="No",(Personnel!G6/Personnel!$E6)*Personnel!$D6*Personnel!G$74,IF((Personnel!$D6*Personnel!G$74)&lt;Salary_Cap,(Personnel!G6/Personnel!$E6)*Personnel!$D6*Personnel!G$74,(Personnel!G6/Personnel!$E6)*Salary_Cap))),0)</f>
        <v>0</v>
      </c>
      <c r="D6" s="48">
        <f>ROUND(IF(Personnel!$C6="Cost Share",0,IF(Personnel!$D$2="No",(Personnel!H6/Personnel!$E6)*Personnel!$D6*Personnel!H$74,IF((Personnel!$D6*Personnel!H$74)&lt;Salary_Cap,(Personnel!H6/Personnel!$E6)*Personnel!$D6*Personnel!H$74,(Personnel!H6/Personnel!$E6)*Salary_Cap))),0)</f>
        <v>0</v>
      </c>
      <c r="E6" s="48">
        <f>ROUND(IF(Personnel!$C6="Cost Share",0,IF(Personnel!$D$2="No",(Personnel!I6/Personnel!$E6)*Personnel!$D6*Personnel!I$74,IF((Personnel!$D6*Personnel!I$74)&lt;Salary_Cap,(Personnel!I6/Personnel!$E6)*Personnel!$D6*Personnel!I$74,(Personnel!I6/Personnel!$E6)*Salary_Cap))),0)</f>
        <v>0</v>
      </c>
      <c r="F6" s="48">
        <f>ROUND(IF(Personnel!$C6="Cost Share",0,IF(Personnel!$D$2="No",(Personnel!J6/Personnel!$E6)*Personnel!$D6*Personnel!J$74,IF((Personnel!$D6*Personnel!J$74)&lt;Salary_Cap,(Personnel!J6/Personnel!$E6)*Personnel!$D6*Personnel!J$74,(Personnel!J6/Personnel!$E6)*Salary_Cap))),0)</f>
        <v>0</v>
      </c>
      <c r="H6" s="48">
        <f>ROUND(IF(Personnel!$C6&lt;&gt;"Sum",B6*'Rate Table'!$E$3,'Labor Detail'!B6*'Rate Table'!$E$7),0)</f>
        <v>0</v>
      </c>
      <c r="I6" s="48">
        <f>ROUND(IF(Personnel!$C6&lt;&gt;"Sum",C6*'Rate Table'!$E$3,'Labor Detail'!C6*'Rate Table'!$E$7),0)</f>
        <v>0</v>
      </c>
      <c r="J6" s="48">
        <f>ROUND(IF(Personnel!$C6&lt;&gt;"Sum",D6*'Rate Table'!$E$3,'Labor Detail'!D6*'Rate Table'!$E$7),0)</f>
        <v>0</v>
      </c>
      <c r="K6" s="48">
        <f>ROUND(IF(Personnel!$C6&lt;&gt;"Sum",E6*'Rate Table'!$E$3,'Labor Detail'!E6*'Rate Table'!$E$7),0)</f>
        <v>0</v>
      </c>
      <c r="L6" s="48">
        <f>ROUND(IF(Personnel!$C6&lt;&gt;"Sum",F6*'Rate Table'!$E$3,'Labor Detail'!F6*'Rate Table'!$E$7),0)</f>
        <v>0</v>
      </c>
      <c r="M6" s="49"/>
      <c r="N6" s="48">
        <f>IF(Personnel!$C6="Cost Share",0,2080*'FTE Table'!B6)</f>
        <v>0</v>
      </c>
      <c r="O6" s="48">
        <f>IF(Personnel!$C6="Cost Share",0,2080*'FTE Table'!C6)</f>
        <v>0</v>
      </c>
      <c r="P6" s="48">
        <f>IF(Personnel!$C6="Cost Share",0,2080*'FTE Table'!D6)</f>
        <v>0</v>
      </c>
      <c r="Q6" s="48">
        <f>IF(Personnel!$C6="Cost Share",0,2080*'FTE Table'!E6)</f>
        <v>0</v>
      </c>
      <c r="R6" s="48">
        <f>IF(Personnel!$C6="Cost Share",0,2080*'FTE Table'!F6)</f>
        <v>0</v>
      </c>
      <c r="T6" s="19">
        <f>IF(Personnel!$C6="Cost Share",0,IF(Personnel!$D$2="yes",IF(Personnel!$D6*Personnel!F$74&gt;Salary_Cap,(Personnel!$D6*'FTE Table'!B6*Personnel!F$74)-('FTE Table'!B6*Salary_Cap),0),0))</f>
        <v>0</v>
      </c>
      <c r="U6" s="19">
        <f>IF(Personnel!$C6="Cost Share",0,IF(Personnel!$D$2="yes",IF(Personnel!$D6*Personnel!G$74&gt;Salary_Cap,(Personnel!$D6*'FTE Table'!C6*Personnel!G$74)-('FTE Table'!C6*Salary_Cap),0),0))</f>
        <v>0</v>
      </c>
      <c r="V6" s="19">
        <f>IF(Personnel!$C6="Cost Share",0,IF(Personnel!$D$2="yes",IF(Personnel!$D6*Personnel!H$74&gt;Salary_Cap,(Personnel!$D6*'FTE Table'!D6*Personnel!H$74)-('FTE Table'!D6*Salary_Cap),0),0))</f>
        <v>0</v>
      </c>
      <c r="W6" s="19">
        <f>IF(Personnel!$C6="Cost Share",0,IF(Personnel!$D$2="yes",IF(Personnel!$D6*Personnel!I$74&gt;Salary_Cap,(Personnel!$D6*'FTE Table'!E6*Personnel!I$74)-('FTE Table'!E6*Salary_Cap),0),0))</f>
        <v>0</v>
      </c>
      <c r="X6" s="19">
        <f>IF(Personnel!$C6="Cost Share",0,IF(Personnel!$D$2="yes",IF(Personnel!$D6*Personnel!J$74&gt;Salary_Cap,(Personnel!$D6*'FTE Table'!F6*Personnel!J$74)-('FTE Table'!F6*Salary_Cap),0),0))</f>
        <v>0</v>
      </c>
      <c r="Z6" s="19">
        <f>IF(Personnel!$C6="Cost Share",0,IF(T6&gt;0,IF(Personnel!$C6&lt;&gt;"Sum",(T6*0.22883)+('FTE Table'!B6*5659),(T6*0.22883)),0))</f>
        <v>0</v>
      </c>
      <c r="AA6" s="19">
        <f>IF(Personnel!$C6="Cost Share",0,IF(U6&gt;0,IF(Personnel!$C6&lt;&gt;"Sum",(U6*0.22883)+('FTE Table'!C6*5659),(U6*0.22883)),0))</f>
        <v>0</v>
      </c>
      <c r="AB6" s="19">
        <f>IF(Personnel!$C6="Cost Share",0,IF(V6&gt;0,IF(Personnel!$C6&lt;&gt;"Sum",(V6*0.22883)+('FTE Table'!D6*5659),(V6*0.22883)),0))</f>
        <v>0</v>
      </c>
      <c r="AC6" s="19">
        <f>IF(Personnel!$C6="Cost Share",0,IF(W6&gt;0,IF(Personnel!$C6&lt;&gt;"Sum",(W6*0.22883)+('FTE Table'!E6*5659),(W6*0.22883)),0))</f>
        <v>0</v>
      </c>
      <c r="AD6" s="19">
        <f>IF(Personnel!$C6="Cost Share",0,IF(X6&gt;0,IF(Personnel!$C6&lt;&gt;"Sum",(X6*0.22883)+('FTE Table'!F6*5659),(X6*0.22883)),0))</f>
        <v>0</v>
      </c>
    </row>
    <row r="7" spans="1:30" x14ac:dyDescent="0.3">
      <c r="A7" s="294">
        <f>IF(Personnel!C7="Cost Share","",Personnel!A7)</f>
        <v>0</v>
      </c>
      <c r="B7" s="48">
        <f>ROUND(IF(Personnel!$C7="Cost Share",0,IF(Personnel!$D$2="No",(Personnel!F7/Personnel!$E7)*Personnel!$D7*Personnel!F$74,IF((Personnel!$D7*Personnel!F$74)&lt;Salary_Cap,(Personnel!F7/Personnel!$E7)*Personnel!$D7*Personnel!F$74,(Personnel!F7/Personnel!$E7)*Salary_Cap))),0)</f>
        <v>0</v>
      </c>
      <c r="C7" s="48">
        <f>ROUND(IF(Personnel!$C7="Cost Share",0,IF(Personnel!$D$2="No",(Personnel!G7/Personnel!$E7)*Personnel!$D7*Personnel!G$74,IF((Personnel!$D7*Personnel!G$74)&lt;Salary_Cap,(Personnel!G7/Personnel!$E7)*Personnel!$D7*Personnel!G$74,(Personnel!G7/Personnel!$E7)*Salary_Cap))),0)</f>
        <v>0</v>
      </c>
      <c r="D7" s="48">
        <f>ROUND(IF(Personnel!$C7="Cost Share",0,IF(Personnel!$D$2="No",(Personnel!H7/Personnel!$E7)*Personnel!$D7*Personnel!H$74,IF((Personnel!$D7*Personnel!H$74)&lt;Salary_Cap,(Personnel!H7/Personnel!$E7)*Personnel!$D7*Personnel!H$74,(Personnel!H7/Personnel!$E7)*Salary_Cap))),0)</f>
        <v>0</v>
      </c>
      <c r="E7" s="48">
        <f>ROUND(IF(Personnel!$C7="Cost Share",0,IF(Personnel!$D$2="No",(Personnel!I7/Personnel!$E7)*Personnel!$D7*Personnel!I$74,IF((Personnel!$D7*Personnel!I$74)&lt;Salary_Cap,(Personnel!I7/Personnel!$E7)*Personnel!$D7*Personnel!I$74,(Personnel!I7/Personnel!$E7)*Salary_Cap))),0)</f>
        <v>0</v>
      </c>
      <c r="F7" s="48">
        <f>ROUND(IF(Personnel!$C7="Cost Share",0,IF(Personnel!$D$2="No",(Personnel!J7/Personnel!$E7)*Personnel!$D7*Personnel!J$74,IF((Personnel!$D7*Personnel!J$74)&lt;Salary_Cap,(Personnel!J7/Personnel!$E7)*Personnel!$D7*Personnel!J$74,(Personnel!J7/Personnel!$E7)*Salary_Cap))),0)</f>
        <v>0</v>
      </c>
      <c r="H7" s="48">
        <f>ROUND(IF(Personnel!$C7&lt;&gt;"Sum",B7*'Rate Table'!$E$3,'Labor Detail'!B7*'Rate Table'!$E$7),0)</f>
        <v>0</v>
      </c>
      <c r="I7" s="48">
        <f>ROUND(IF(Personnel!$C7&lt;&gt;"Sum",C7*'Rate Table'!$E$3,'Labor Detail'!C7*'Rate Table'!$E$7),0)</f>
        <v>0</v>
      </c>
      <c r="J7" s="48">
        <f>ROUND(IF(Personnel!$C7&lt;&gt;"Sum",D7*'Rate Table'!$E$3,'Labor Detail'!D7*'Rate Table'!$E$7),0)</f>
        <v>0</v>
      </c>
      <c r="K7" s="48">
        <f>ROUND(IF(Personnel!$C7&lt;&gt;"Sum",E7*'Rate Table'!$E$3,'Labor Detail'!E7*'Rate Table'!$E$7),0)</f>
        <v>0</v>
      </c>
      <c r="L7" s="48">
        <f>ROUND(IF(Personnel!$C7&lt;&gt;"Sum",F7*'Rate Table'!$E$3,'Labor Detail'!F7*'Rate Table'!$E$7),0)</f>
        <v>0</v>
      </c>
      <c r="M7" s="49"/>
      <c r="N7" s="48">
        <f>IF(Personnel!$C7="Cost Share",0,2080*'FTE Table'!B7)</f>
        <v>0</v>
      </c>
      <c r="O7" s="48">
        <f>IF(Personnel!$C7="Cost Share",0,2080*'FTE Table'!C7)</f>
        <v>0</v>
      </c>
      <c r="P7" s="48">
        <f>IF(Personnel!$C7="Cost Share",0,2080*'FTE Table'!D7)</f>
        <v>0</v>
      </c>
      <c r="Q7" s="48">
        <f>IF(Personnel!$C7="Cost Share",0,2080*'FTE Table'!E7)</f>
        <v>0</v>
      </c>
      <c r="R7" s="48">
        <f>IF(Personnel!$C7="Cost Share",0,2080*'FTE Table'!F7)</f>
        <v>0</v>
      </c>
      <c r="T7" s="19">
        <f>IF(Personnel!$C7="Cost Share",0,IF(Personnel!$D$2="yes",IF(Personnel!$D7*Personnel!F$74&gt;Salary_Cap,(Personnel!$D7*'FTE Table'!B7*Personnel!F$74)-('FTE Table'!B7*Salary_Cap),0),0))</f>
        <v>0</v>
      </c>
      <c r="U7" s="19">
        <f>IF(Personnel!$C7="Cost Share",0,IF(Personnel!$D$2="yes",IF(Personnel!$D7*Personnel!G$74&gt;Salary_Cap,(Personnel!$D7*'FTE Table'!C7*Personnel!G$74)-('FTE Table'!C7*Salary_Cap),0),0))</f>
        <v>0</v>
      </c>
      <c r="V7" s="19">
        <f>IF(Personnel!$C7="Cost Share",0,IF(Personnel!$D$2="yes",IF(Personnel!$D7*Personnel!H$74&gt;Salary_Cap,(Personnel!$D7*'FTE Table'!D7*Personnel!H$74)-('FTE Table'!D7*Salary_Cap),0),0))</f>
        <v>0</v>
      </c>
      <c r="W7" s="19">
        <f>IF(Personnel!$C7="Cost Share",0,IF(Personnel!$D$2="yes",IF(Personnel!$D7*Personnel!I$74&gt;Salary_Cap,(Personnel!$D7*'FTE Table'!E7*Personnel!I$74)-('FTE Table'!E7*Salary_Cap),0),0))</f>
        <v>0</v>
      </c>
      <c r="X7" s="19">
        <f>IF(Personnel!$C7="Cost Share",0,IF(Personnel!$D$2="yes",IF(Personnel!$D7*Personnel!J$74&gt;Salary_Cap,(Personnel!$D7*'FTE Table'!F7*Personnel!J$74)-('FTE Table'!F7*Salary_Cap),0),0))</f>
        <v>0</v>
      </c>
      <c r="Z7" s="19">
        <f>IF(Personnel!$C7="Cost Share",0,IF(T7&gt;0,IF(Personnel!$C7&lt;&gt;"Sum",(T7*0.22883)+('FTE Table'!B7*5659),(T7*0.22883)),0))</f>
        <v>0</v>
      </c>
      <c r="AA7" s="19">
        <f>IF(Personnel!$C7="Cost Share",0,IF(U7&gt;0,IF(Personnel!$C7&lt;&gt;"Sum",(U7*0.22883)+('FTE Table'!C7*5659),(U7*0.22883)),0))</f>
        <v>0</v>
      </c>
      <c r="AB7" s="19">
        <f>IF(Personnel!$C7="Cost Share",0,IF(V7&gt;0,IF(Personnel!$C7&lt;&gt;"Sum",(V7*0.22883)+('FTE Table'!D7*5659),(V7*0.22883)),0))</f>
        <v>0</v>
      </c>
      <c r="AC7" s="19">
        <f>IF(Personnel!$C7="Cost Share",0,IF(W7&gt;0,IF(Personnel!$C7&lt;&gt;"Sum",(W7*0.22883)+('FTE Table'!E7*5659),(W7*0.22883)),0))</f>
        <v>0</v>
      </c>
      <c r="AD7" s="19">
        <f>IF(Personnel!$C7="Cost Share",0,IF(X7&gt;0,IF(Personnel!$C7&lt;&gt;"Sum",(X7*0.22883)+('FTE Table'!F7*5659),(X7*0.22883)),0))</f>
        <v>0</v>
      </c>
    </row>
    <row r="8" spans="1:30" x14ac:dyDescent="0.3">
      <c r="A8" s="294">
        <f>IF(Personnel!C8="Cost Share","",Personnel!A8)</f>
        <v>0</v>
      </c>
      <c r="B8" s="48">
        <f>ROUND(IF(Personnel!$C8="Cost Share",0,IF(Personnel!$D$2="No",(Personnel!F8/Personnel!$E8)*Personnel!$D8*Personnel!F$74,IF((Personnel!$D8*Personnel!F$74)&lt;Salary_Cap,(Personnel!F8/Personnel!$E8)*Personnel!$D8*Personnel!F$74,(Personnel!F8/Personnel!$E8)*Salary_Cap))),0)</f>
        <v>0</v>
      </c>
      <c r="C8" s="48">
        <f>ROUND(IF(Personnel!$C8="Cost Share",0,IF(Personnel!$D$2="No",(Personnel!G8/Personnel!$E8)*Personnel!$D8*Personnel!G$74,IF((Personnel!$D8*Personnel!G$74)&lt;Salary_Cap,(Personnel!G8/Personnel!$E8)*Personnel!$D8*Personnel!G$74,(Personnel!G8/Personnel!$E8)*Salary_Cap))),0)</f>
        <v>0</v>
      </c>
      <c r="D8" s="48">
        <f>ROUND(IF(Personnel!$C8="Cost Share",0,IF(Personnel!$D$2="No",(Personnel!H8/Personnel!$E8)*Personnel!$D8*Personnel!H$74,IF((Personnel!$D8*Personnel!H$74)&lt;Salary_Cap,(Personnel!H8/Personnel!$E8)*Personnel!$D8*Personnel!H$74,(Personnel!H8/Personnel!$E8)*Salary_Cap))),0)</f>
        <v>0</v>
      </c>
      <c r="E8" s="48">
        <f>ROUND(IF(Personnel!$C8="Cost Share",0,IF(Personnel!$D$2="No",(Personnel!I8/Personnel!$E8)*Personnel!$D8*Personnel!I$74,IF((Personnel!$D8*Personnel!I$74)&lt;Salary_Cap,(Personnel!I8/Personnel!$E8)*Personnel!$D8*Personnel!I$74,(Personnel!I8/Personnel!$E8)*Salary_Cap))),0)</f>
        <v>0</v>
      </c>
      <c r="F8" s="48">
        <f>ROUND(IF(Personnel!$C8="Cost Share",0,IF(Personnel!$D$2="No",(Personnel!J8/Personnel!$E8)*Personnel!$D8*Personnel!J$74,IF((Personnel!$D8*Personnel!J$74)&lt;Salary_Cap,(Personnel!J8/Personnel!$E8)*Personnel!$D8*Personnel!J$74,(Personnel!J8/Personnel!$E8)*Salary_Cap))),0)</f>
        <v>0</v>
      </c>
      <c r="H8" s="48">
        <f>ROUND(IF(Personnel!$C8&lt;&gt;"Sum",B8*'Rate Table'!$E$3,'Labor Detail'!B8*'Rate Table'!$E$7),0)</f>
        <v>0</v>
      </c>
      <c r="I8" s="48">
        <f>ROUND(IF(Personnel!$C8&lt;&gt;"Sum",C8*'Rate Table'!$E$3,'Labor Detail'!C8*'Rate Table'!$E$7),0)</f>
        <v>0</v>
      </c>
      <c r="J8" s="48">
        <f>ROUND(IF(Personnel!$C8&lt;&gt;"Sum",D8*'Rate Table'!$E$3,'Labor Detail'!D8*'Rate Table'!$E$7),0)</f>
        <v>0</v>
      </c>
      <c r="K8" s="48">
        <f>ROUND(IF(Personnel!$C8&lt;&gt;"Sum",E8*'Rate Table'!$E$3,'Labor Detail'!E8*'Rate Table'!$E$7),0)</f>
        <v>0</v>
      </c>
      <c r="L8" s="48">
        <f>ROUND(IF(Personnel!$C8&lt;&gt;"Sum",F8*'Rate Table'!$E$3,'Labor Detail'!F8*'Rate Table'!$E$7),0)</f>
        <v>0</v>
      </c>
      <c r="M8" s="49"/>
      <c r="N8" s="48">
        <f>IF(Personnel!$C8="Cost Share",0,2080*'FTE Table'!B8)</f>
        <v>0</v>
      </c>
      <c r="O8" s="48">
        <f>IF(Personnel!$C8="Cost Share",0,2080*'FTE Table'!C8)</f>
        <v>0</v>
      </c>
      <c r="P8" s="48">
        <f>IF(Personnel!$C8="Cost Share",0,2080*'FTE Table'!D8)</f>
        <v>0</v>
      </c>
      <c r="Q8" s="48">
        <f>IF(Personnel!$C8="Cost Share",0,2080*'FTE Table'!E8)</f>
        <v>0</v>
      </c>
      <c r="R8" s="48">
        <f>IF(Personnel!$C8="Cost Share",0,2080*'FTE Table'!F8)</f>
        <v>0</v>
      </c>
      <c r="T8" s="19">
        <f>IF(Personnel!$C8="Cost Share",0,IF(Personnel!$D$2="yes",IF(Personnel!$D8*Personnel!F$74&gt;Salary_Cap,(Personnel!$D8*'FTE Table'!B8*Personnel!F$74)-('FTE Table'!B8*Salary_Cap),0),0))</f>
        <v>0</v>
      </c>
      <c r="U8" s="19">
        <f>IF(Personnel!$C8="Cost Share",0,IF(Personnel!$D$2="yes",IF(Personnel!$D8*Personnel!G$74&gt;Salary_Cap,(Personnel!$D8*'FTE Table'!C8*Personnel!G$74)-('FTE Table'!C8*Salary_Cap),0),0))</f>
        <v>0</v>
      </c>
      <c r="V8" s="19">
        <f>IF(Personnel!$C8="Cost Share",0,IF(Personnel!$D$2="yes",IF(Personnel!$D8*Personnel!H$74&gt;Salary_Cap,(Personnel!$D8*'FTE Table'!D8*Personnel!H$74)-('FTE Table'!D8*Salary_Cap),0),0))</f>
        <v>0</v>
      </c>
      <c r="W8" s="19">
        <f>IF(Personnel!$C8="Cost Share",0,IF(Personnel!$D$2="yes",IF(Personnel!$D8*Personnel!I$74&gt;Salary_Cap,(Personnel!$D8*'FTE Table'!E8*Personnel!I$74)-('FTE Table'!E8*Salary_Cap),0),0))</f>
        <v>0</v>
      </c>
      <c r="X8" s="19">
        <f>IF(Personnel!$C8="Cost Share",0,IF(Personnel!$D$2="yes",IF(Personnel!$D8*Personnel!J$74&gt;Salary_Cap,(Personnel!$D8*'FTE Table'!F8*Personnel!J$74)-('FTE Table'!F8*Salary_Cap),0),0))</f>
        <v>0</v>
      </c>
      <c r="Z8" s="19">
        <f>IF(Personnel!$C8="Cost Share",0,IF(T8&gt;0,IF(Personnel!$C8&lt;&gt;"Sum",(T8*0.22883)+('FTE Table'!B8*5659),(T8*0.22883)),0))</f>
        <v>0</v>
      </c>
      <c r="AA8" s="19">
        <f>IF(Personnel!$C8="Cost Share",0,IF(U8&gt;0,IF(Personnel!$C8&lt;&gt;"Sum",(U8*0.22883)+('FTE Table'!C8*5659),(U8*0.22883)),0))</f>
        <v>0</v>
      </c>
      <c r="AB8" s="19">
        <f>IF(Personnel!$C8="Cost Share",0,IF(V8&gt;0,IF(Personnel!$C8&lt;&gt;"Sum",(V8*0.22883)+('FTE Table'!D8*5659),(V8*0.22883)),0))</f>
        <v>0</v>
      </c>
      <c r="AC8" s="19">
        <f>IF(Personnel!$C8="Cost Share",0,IF(W8&gt;0,IF(Personnel!$C8&lt;&gt;"Sum",(W8*0.22883)+('FTE Table'!E8*5659),(W8*0.22883)),0))</f>
        <v>0</v>
      </c>
      <c r="AD8" s="19">
        <f>IF(Personnel!$C8="Cost Share",0,IF(X8&gt;0,IF(Personnel!$C8&lt;&gt;"Sum",(X8*0.22883)+('FTE Table'!F8*5659),(X8*0.22883)),0))</f>
        <v>0</v>
      </c>
    </row>
    <row r="9" spans="1:30" x14ac:dyDescent="0.3">
      <c r="A9" s="294">
        <f>IF(Personnel!C9="Cost Share","",Personnel!A9)</f>
        <v>0</v>
      </c>
      <c r="B9" s="48">
        <f>ROUND(IF(Personnel!$C9="Cost Share",0,IF(Personnel!$D$2="No",(Personnel!F9/Personnel!$E9)*Personnel!$D9*Personnel!F$74,IF((Personnel!$D9*Personnel!F$74)&lt;Salary_Cap,(Personnel!F9/Personnel!$E9)*Personnel!$D9*Personnel!F$74,(Personnel!F9/Personnel!$E9)*Salary_Cap))),0)</f>
        <v>0</v>
      </c>
      <c r="C9" s="48">
        <f>ROUND(IF(Personnel!$C9="Cost Share",0,IF(Personnel!$D$2="No",(Personnel!G9/Personnel!$E9)*Personnel!$D9*Personnel!G$74,IF((Personnel!$D9*Personnel!G$74)&lt;Salary_Cap,(Personnel!G9/Personnel!$E9)*Personnel!$D9*Personnel!G$74,(Personnel!G9/Personnel!$E9)*Salary_Cap))),0)</f>
        <v>0</v>
      </c>
      <c r="D9" s="48">
        <f>ROUND(IF(Personnel!$C9="Cost Share",0,IF(Personnel!$D$2="No",(Personnel!H9/Personnel!$E9)*Personnel!$D9*Personnel!H$74,IF((Personnel!$D9*Personnel!H$74)&lt;Salary_Cap,(Personnel!H9/Personnel!$E9)*Personnel!$D9*Personnel!H$74,(Personnel!H9/Personnel!$E9)*Salary_Cap))),0)</f>
        <v>0</v>
      </c>
      <c r="E9" s="48">
        <f>ROUND(IF(Personnel!$C9="Cost Share",0,IF(Personnel!$D$2="No",(Personnel!I9/Personnel!$E9)*Personnel!$D9*Personnel!I$74,IF((Personnel!$D9*Personnel!I$74)&lt;Salary_Cap,(Personnel!I9/Personnel!$E9)*Personnel!$D9*Personnel!I$74,(Personnel!I9/Personnel!$E9)*Salary_Cap))),0)</f>
        <v>0</v>
      </c>
      <c r="F9" s="48">
        <f>ROUND(IF(Personnel!$C9="Cost Share",0,IF(Personnel!$D$2="No",(Personnel!J9/Personnel!$E9)*Personnel!$D9*Personnel!J$74,IF((Personnel!$D9*Personnel!J$74)&lt;Salary_Cap,(Personnel!J9/Personnel!$E9)*Personnel!$D9*Personnel!J$74,(Personnel!J9/Personnel!$E9)*Salary_Cap))),0)</f>
        <v>0</v>
      </c>
      <c r="H9" s="48">
        <f>ROUND(IF(Personnel!$C9&lt;&gt;"Sum",B9*'Rate Table'!$E$3,'Labor Detail'!B9*'Rate Table'!$E$7),0)</f>
        <v>0</v>
      </c>
      <c r="I9" s="48">
        <f>ROUND(IF(Personnel!$C9&lt;&gt;"Sum",C9*'Rate Table'!$E$3,'Labor Detail'!C9*'Rate Table'!$E$7),0)</f>
        <v>0</v>
      </c>
      <c r="J9" s="48">
        <f>ROUND(IF(Personnel!$C9&lt;&gt;"Sum",D9*'Rate Table'!$E$3,'Labor Detail'!D9*'Rate Table'!$E$7),0)</f>
        <v>0</v>
      </c>
      <c r="K9" s="48">
        <f>ROUND(IF(Personnel!$C9&lt;&gt;"Sum",E9*'Rate Table'!$E$3,'Labor Detail'!E9*'Rate Table'!$E$7),0)</f>
        <v>0</v>
      </c>
      <c r="L9" s="48">
        <f>ROUND(IF(Personnel!$C9&lt;&gt;"Sum",F9*'Rate Table'!$E$3,'Labor Detail'!F9*'Rate Table'!$E$7),0)</f>
        <v>0</v>
      </c>
      <c r="M9" s="49"/>
      <c r="N9" s="48">
        <f>IF(Personnel!$C9="Cost Share",0,2080*'FTE Table'!B9)</f>
        <v>0</v>
      </c>
      <c r="O9" s="48">
        <f>IF(Personnel!$C9="Cost Share",0,2080*'FTE Table'!C9)</f>
        <v>0</v>
      </c>
      <c r="P9" s="48">
        <f>IF(Personnel!$C9="Cost Share",0,2080*'FTE Table'!D9)</f>
        <v>0</v>
      </c>
      <c r="Q9" s="48">
        <f>IF(Personnel!$C9="Cost Share",0,2080*'FTE Table'!E9)</f>
        <v>0</v>
      </c>
      <c r="R9" s="48">
        <f>IF(Personnel!$C9="Cost Share",0,2080*'FTE Table'!F9)</f>
        <v>0</v>
      </c>
      <c r="T9" s="19">
        <f>IF(Personnel!$C9="Cost Share",0,IF(Personnel!$D$2="yes",IF(Personnel!$D9*Personnel!F$74&gt;Salary_Cap,(Personnel!$D9*'FTE Table'!B9*Personnel!F$74)-('FTE Table'!B9*Salary_Cap),0),0))</f>
        <v>0</v>
      </c>
      <c r="U9" s="19">
        <f>IF(Personnel!$C9="Cost Share",0,IF(Personnel!$D$2="yes",IF(Personnel!$D9*Personnel!G$74&gt;Salary_Cap,(Personnel!$D9*'FTE Table'!C9*Personnel!G$74)-('FTE Table'!C9*Salary_Cap),0),0))</f>
        <v>0</v>
      </c>
      <c r="V9" s="19">
        <f>IF(Personnel!$C9="Cost Share",0,IF(Personnel!$D$2="yes",IF(Personnel!$D9*Personnel!H$74&gt;Salary_Cap,(Personnel!$D9*'FTE Table'!D9*Personnel!H$74)-('FTE Table'!D9*Salary_Cap),0),0))</f>
        <v>0</v>
      </c>
      <c r="W9" s="19">
        <f>IF(Personnel!$C9="Cost Share",0,IF(Personnel!$D$2="yes",IF(Personnel!$D9*Personnel!I$74&gt;Salary_Cap,(Personnel!$D9*'FTE Table'!E9*Personnel!I$74)-('FTE Table'!E9*Salary_Cap),0),0))</f>
        <v>0</v>
      </c>
      <c r="X9" s="19">
        <f>IF(Personnel!$C9="Cost Share",0,IF(Personnel!$D$2="yes",IF(Personnel!$D9*Personnel!J$74&gt;Salary_Cap,(Personnel!$D9*'FTE Table'!F9*Personnel!J$74)-('FTE Table'!F9*Salary_Cap),0),0))</f>
        <v>0</v>
      </c>
      <c r="Z9" s="19">
        <f>IF(Personnel!$C9="Cost Share",0,IF(T9&gt;0,IF(Personnel!$C9&lt;&gt;"Sum",(T9*0.22883)+('FTE Table'!B9*5659),(T9*0.22883)),0))</f>
        <v>0</v>
      </c>
      <c r="AA9" s="19">
        <f>IF(Personnel!$C9="Cost Share",0,IF(U9&gt;0,IF(Personnel!$C9&lt;&gt;"Sum",(U9*0.22883)+('FTE Table'!C9*5659),(U9*0.22883)),0))</f>
        <v>0</v>
      </c>
      <c r="AB9" s="19">
        <f>IF(Personnel!$C9="Cost Share",0,IF(V9&gt;0,IF(Personnel!$C9&lt;&gt;"Sum",(V9*0.22883)+('FTE Table'!D9*5659),(V9*0.22883)),0))</f>
        <v>0</v>
      </c>
      <c r="AC9" s="19">
        <f>IF(Personnel!$C9="Cost Share",0,IF(W9&gt;0,IF(Personnel!$C9&lt;&gt;"Sum",(W9*0.22883)+('FTE Table'!E9*5659),(W9*0.22883)),0))</f>
        <v>0</v>
      </c>
      <c r="AD9" s="19">
        <f>IF(Personnel!$C9="Cost Share",0,IF(X9&gt;0,IF(Personnel!$C9&lt;&gt;"Sum",(X9*0.22883)+('FTE Table'!F9*5659),(X9*0.22883)),0))</f>
        <v>0</v>
      </c>
    </row>
    <row r="10" spans="1:30" x14ac:dyDescent="0.3">
      <c r="A10" s="294">
        <f>IF(Personnel!C10="Cost Share","",Personnel!A10)</f>
        <v>0</v>
      </c>
      <c r="B10" s="48">
        <f>ROUND(IF(Personnel!$C10="Cost Share",0,IF(Personnel!$D$2="No",(Personnel!F10/Personnel!$E10)*Personnel!$D10*Personnel!F$74,IF((Personnel!$D10*Personnel!F$74)&lt;Salary_Cap,(Personnel!F10/Personnel!$E10)*Personnel!$D10*Personnel!F$74,(Personnel!F10/Personnel!$E10)*Salary_Cap))),0)</f>
        <v>0</v>
      </c>
      <c r="C10" s="48">
        <f>ROUND(IF(Personnel!$C10="Cost Share",0,IF(Personnel!$D$2="No",(Personnel!G10/Personnel!$E10)*Personnel!$D10*Personnel!G$74,IF((Personnel!$D10*Personnel!G$74)&lt;Salary_Cap,(Personnel!G10/Personnel!$E10)*Personnel!$D10*Personnel!G$74,(Personnel!G10/Personnel!$E10)*Salary_Cap))),0)</f>
        <v>0</v>
      </c>
      <c r="D10" s="48">
        <f>ROUND(IF(Personnel!$C10="Cost Share",0,IF(Personnel!$D$2="No",(Personnel!H10/Personnel!$E10)*Personnel!$D10*Personnel!H$74,IF((Personnel!$D10*Personnel!H$74)&lt;Salary_Cap,(Personnel!H10/Personnel!$E10)*Personnel!$D10*Personnel!H$74,(Personnel!H10/Personnel!$E10)*Salary_Cap))),0)</f>
        <v>0</v>
      </c>
      <c r="E10" s="48">
        <f>ROUND(IF(Personnel!$C10="Cost Share",0,IF(Personnel!$D$2="No",(Personnel!I10/Personnel!$E10)*Personnel!$D10*Personnel!I$74,IF((Personnel!$D10*Personnel!I$74)&lt;Salary_Cap,(Personnel!I10/Personnel!$E10)*Personnel!$D10*Personnel!I$74,(Personnel!I10/Personnel!$E10)*Salary_Cap))),0)</f>
        <v>0</v>
      </c>
      <c r="F10" s="48">
        <f>ROUND(IF(Personnel!$C10="Cost Share",0,IF(Personnel!$D$2="No",(Personnel!J10/Personnel!$E10)*Personnel!$D10*Personnel!J$74,IF((Personnel!$D10*Personnel!J$74)&lt;Salary_Cap,(Personnel!J10/Personnel!$E10)*Personnel!$D10*Personnel!J$74,(Personnel!J10/Personnel!$E10)*Salary_Cap))),0)</f>
        <v>0</v>
      </c>
      <c r="H10" s="48">
        <f>ROUND(IF(Personnel!$C10&lt;&gt;"Sum",B10*'Rate Table'!$E$3,'Labor Detail'!B10*'Rate Table'!$E$7),0)</f>
        <v>0</v>
      </c>
      <c r="I10" s="48">
        <f>ROUND(IF(Personnel!$C10&lt;&gt;"Sum",C10*'Rate Table'!$E$3,'Labor Detail'!C10*'Rate Table'!$E$7),0)</f>
        <v>0</v>
      </c>
      <c r="J10" s="48">
        <f>ROUND(IF(Personnel!$C10&lt;&gt;"Sum",D10*'Rate Table'!$E$3,'Labor Detail'!D10*'Rate Table'!$E$7),0)</f>
        <v>0</v>
      </c>
      <c r="K10" s="48">
        <f>ROUND(IF(Personnel!$C10&lt;&gt;"Sum",E10*'Rate Table'!$E$3,'Labor Detail'!E10*'Rate Table'!$E$7),0)</f>
        <v>0</v>
      </c>
      <c r="L10" s="48">
        <f>ROUND(IF(Personnel!$C10&lt;&gt;"Sum",F10*'Rate Table'!$E$3,'Labor Detail'!F10*'Rate Table'!$E$7),0)</f>
        <v>0</v>
      </c>
      <c r="M10" s="49"/>
      <c r="N10" s="48">
        <f>IF(Personnel!$C10="Cost Share",0,2080*'FTE Table'!B10)</f>
        <v>0</v>
      </c>
      <c r="O10" s="48">
        <f>IF(Personnel!$C10="Cost Share",0,2080*'FTE Table'!C10)</f>
        <v>0</v>
      </c>
      <c r="P10" s="48">
        <f>IF(Personnel!$C10="Cost Share",0,2080*'FTE Table'!D10)</f>
        <v>0</v>
      </c>
      <c r="Q10" s="48">
        <f>IF(Personnel!$C10="Cost Share",0,2080*'FTE Table'!E10)</f>
        <v>0</v>
      </c>
      <c r="R10" s="48">
        <f>IF(Personnel!$C10="Cost Share",0,2080*'FTE Table'!F10)</f>
        <v>0</v>
      </c>
      <c r="T10" s="19">
        <f>IF(Personnel!$C10="Cost Share",0,IF(Personnel!$D$2="yes",IF(Personnel!$D10*Personnel!F$74&gt;Salary_Cap,(Personnel!$D10*'FTE Table'!B10*Personnel!F$74)-('FTE Table'!B10*Salary_Cap),0),0))</f>
        <v>0</v>
      </c>
      <c r="U10" s="19">
        <f>IF(Personnel!$C10="Cost Share",0,IF(Personnel!$D$2="yes",IF(Personnel!$D10*Personnel!G$74&gt;Salary_Cap,(Personnel!$D10*'FTE Table'!C10*Personnel!G$74)-('FTE Table'!C10*Salary_Cap),0),0))</f>
        <v>0</v>
      </c>
      <c r="V10" s="19">
        <f>IF(Personnel!$C10="Cost Share",0,IF(Personnel!$D$2="yes",IF(Personnel!$D10*Personnel!H$74&gt;Salary_Cap,(Personnel!$D10*'FTE Table'!D10*Personnel!H$74)-('FTE Table'!D10*Salary_Cap),0),0))</f>
        <v>0</v>
      </c>
      <c r="W10" s="19">
        <f>IF(Personnel!$C10="Cost Share",0,IF(Personnel!$D$2="yes",IF(Personnel!$D10*Personnel!I$74&gt;Salary_Cap,(Personnel!$D10*'FTE Table'!E10*Personnel!I$74)-('FTE Table'!E10*Salary_Cap),0),0))</f>
        <v>0</v>
      </c>
      <c r="X10" s="19">
        <f>IF(Personnel!$C10="Cost Share",0,IF(Personnel!$D$2="yes",IF(Personnel!$D10*Personnel!J$74&gt;Salary_Cap,(Personnel!$D10*'FTE Table'!F10*Personnel!J$74)-('FTE Table'!F10*Salary_Cap),0),0))</f>
        <v>0</v>
      </c>
      <c r="Z10" s="19">
        <f>IF(Personnel!$C10="Cost Share",0,IF(T10&gt;0,IF(Personnel!$C10&lt;&gt;"Sum",(T10*0.22883)+('FTE Table'!B10*5659),(T10*0.22883)),0))</f>
        <v>0</v>
      </c>
      <c r="AA10" s="19">
        <f>IF(Personnel!$C10="Cost Share",0,IF(U10&gt;0,IF(Personnel!$C10&lt;&gt;"Sum",(U10*0.22883)+('FTE Table'!C10*5659),(U10*0.22883)),0))</f>
        <v>0</v>
      </c>
      <c r="AB10" s="19">
        <f>IF(Personnel!$C10="Cost Share",0,IF(V10&gt;0,IF(Personnel!$C10&lt;&gt;"Sum",(V10*0.22883)+('FTE Table'!D10*5659),(V10*0.22883)),0))</f>
        <v>0</v>
      </c>
      <c r="AC10" s="19">
        <f>IF(Personnel!$C10="Cost Share",0,IF(W10&gt;0,IF(Personnel!$C10&lt;&gt;"Sum",(W10*0.22883)+('FTE Table'!E10*5659),(W10*0.22883)),0))</f>
        <v>0</v>
      </c>
      <c r="AD10" s="19">
        <f>IF(Personnel!$C10="Cost Share",0,IF(X10&gt;0,IF(Personnel!$C10&lt;&gt;"Sum",(X10*0.22883)+('FTE Table'!F10*5659),(X10*0.22883)),0))</f>
        <v>0</v>
      </c>
    </row>
    <row r="11" spans="1:30" x14ac:dyDescent="0.3">
      <c r="A11" s="294">
        <f>IF(Personnel!C11="Cost Share","",Personnel!A11)</f>
        <v>0</v>
      </c>
      <c r="B11" s="48">
        <f>ROUND(IF(Personnel!$C11="Cost Share",0,IF(Personnel!$D$2="No",(Personnel!F11/Personnel!$E11)*Personnel!$D11*Personnel!F$74,IF((Personnel!$D11*Personnel!F$74)&lt;Salary_Cap,(Personnel!F11/Personnel!$E11)*Personnel!$D11*Personnel!F$74,(Personnel!F11/Personnel!$E11)*Salary_Cap))),0)</f>
        <v>0</v>
      </c>
      <c r="C11" s="48">
        <f>ROUND(IF(Personnel!$C11="Cost Share",0,IF(Personnel!$D$2="No",(Personnel!G11/Personnel!$E11)*Personnel!$D11*Personnel!G$74,IF((Personnel!$D11*Personnel!G$74)&lt;Salary_Cap,(Personnel!G11/Personnel!$E11)*Personnel!$D11*Personnel!G$74,(Personnel!G11/Personnel!$E11)*Salary_Cap))),0)</f>
        <v>0</v>
      </c>
      <c r="D11" s="48">
        <f>ROUND(IF(Personnel!$C11="Cost Share",0,IF(Personnel!$D$2="No",(Personnel!H11/Personnel!$E11)*Personnel!$D11*Personnel!H$74,IF((Personnel!$D11*Personnel!H$74)&lt;Salary_Cap,(Personnel!H11/Personnel!$E11)*Personnel!$D11*Personnel!H$74,(Personnel!H11/Personnel!$E11)*Salary_Cap))),0)</f>
        <v>0</v>
      </c>
      <c r="E11" s="48">
        <f>ROUND(IF(Personnel!$C11="Cost Share",0,IF(Personnel!$D$2="No",(Personnel!I11/Personnel!$E11)*Personnel!$D11*Personnel!I$74,IF((Personnel!$D11*Personnel!I$74)&lt;Salary_Cap,(Personnel!I11/Personnel!$E11)*Personnel!$D11*Personnel!I$74,(Personnel!I11/Personnel!$E11)*Salary_Cap))),0)</f>
        <v>0</v>
      </c>
      <c r="F11" s="48">
        <f>ROUND(IF(Personnel!$C11="Cost Share",0,IF(Personnel!$D$2="No",(Personnel!J11/Personnel!$E11)*Personnel!$D11*Personnel!J$74,IF((Personnel!$D11*Personnel!J$74)&lt;Salary_Cap,(Personnel!J11/Personnel!$E11)*Personnel!$D11*Personnel!J$74,(Personnel!J11/Personnel!$E11)*Salary_Cap))),0)</f>
        <v>0</v>
      </c>
      <c r="H11" s="48">
        <f>ROUND(IF(Personnel!$C11&lt;&gt;"Sum",B11*'Rate Table'!$E$3,'Labor Detail'!B11*'Rate Table'!$E$7),0)</f>
        <v>0</v>
      </c>
      <c r="I11" s="48">
        <f>ROUND(IF(Personnel!$C11&lt;&gt;"Sum",C11*'Rate Table'!$E$3,'Labor Detail'!C11*'Rate Table'!$E$7),0)</f>
        <v>0</v>
      </c>
      <c r="J11" s="48">
        <f>ROUND(IF(Personnel!$C11&lt;&gt;"Sum",D11*'Rate Table'!$E$3,'Labor Detail'!D11*'Rate Table'!$E$7),0)</f>
        <v>0</v>
      </c>
      <c r="K11" s="48">
        <f>ROUND(IF(Personnel!$C11&lt;&gt;"Sum",E11*'Rate Table'!$E$3,'Labor Detail'!E11*'Rate Table'!$E$7),0)</f>
        <v>0</v>
      </c>
      <c r="L11" s="48">
        <f>ROUND(IF(Personnel!$C11&lt;&gt;"Sum",F11*'Rate Table'!$E$3,'Labor Detail'!F11*'Rate Table'!$E$7),0)</f>
        <v>0</v>
      </c>
      <c r="M11" s="49"/>
      <c r="N11" s="48">
        <f>IF(Personnel!$C11="Cost Share",0,2080*'FTE Table'!B11)</f>
        <v>0</v>
      </c>
      <c r="O11" s="48">
        <f>IF(Personnel!$C11="Cost Share",0,2080*'FTE Table'!C11)</f>
        <v>0</v>
      </c>
      <c r="P11" s="48">
        <f>IF(Personnel!$C11="Cost Share",0,2080*'FTE Table'!D11)</f>
        <v>0</v>
      </c>
      <c r="Q11" s="48">
        <f>IF(Personnel!$C11="Cost Share",0,2080*'FTE Table'!E11)</f>
        <v>0</v>
      </c>
      <c r="R11" s="48">
        <f>IF(Personnel!$C11="Cost Share",0,2080*'FTE Table'!F11)</f>
        <v>0</v>
      </c>
      <c r="T11" s="19">
        <f>IF(Personnel!$C11="Cost Share",0,IF(Personnel!$D$2="yes",IF(Personnel!$D11*Personnel!F$74&gt;Salary_Cap,(Personnel!$D11*'FTE Table'!B11*Personnel!F$74)-('FTE Table'!B11*Salary_Cap),0),0))</f>
        <v>0</v>
      </c>
      <c r="U11" s="19">
        <f>IF(Personnel!$C11="Cost Share",0,IF(Personnel!$D$2="yes",IF(Personnel!$D11*Personnel!G$74&gt;Salary_Cap,(Personnel!$D11*'FTE Table'!C11*Personnel!G$74)-('FTE Table'!C11*Salary_Cap),0),0))</f>
        <v>0</v>
      </c>
      <c r="V11" s="19">
        <f>IF(Personnel!$C11="Cost Share",0,IF(Personnel!$D$2="yes",IF(Personnel!$D11*Personnel!H$74&gt;Salary_Cap,(Personnel!$D11*'FTE Table'!D11*Personnel!H$74)-('FTE Table'!D11*Salary_Cap),0),0))</f>
        <v>0</v>
      </c>
      <c r="W11" s="19">
        <f>IF(Personnel!$C11="Cost Share",0,IF(Personnel!$D$2="yes",IF(Personnel!$D11*Personnel!I$74&gt;Salary_Cap,(Personnel!$D11*'FTE Table'!E11*Personnel!I$74)-('FTE Table'!E11*Salary_Cap),0),0))</f>
        <v>0</v>
      </c>
      <c r="X11" s="19">
        <f>IF(Personnel!$C11="Cost Share",0,IF(Personnel!$D$2="yes",IF(Personnel!$D11*Personnel!J$74&gt;Salary_Cap,(Personnel!$D11*'FTE Table'!F11*Personnel!J$74)-('FTE Table'!F11*Salary_Cap),0),0))</f>
        <v>0</v>
      </c>
      <c r="Z11" s="19">
        <f>IF(Personnel!$C11="Cost Share",0,IF(T11&gt;0,IF(Personnel!$C11&lt;&gt;"Sum",(T11*0.22883)+('FTE Table'!B11*5659),(T11*0.22883)),0))</f>
        <v>0</v>
      </c>
      <c r="AA11" s="19">
        <f>IF(Personnel!$C11="Cost Share",0,IF(U11&gt;0,IF(Personnel!$C11&lt;&gt;"Sum",(U11*0.22883)+('FTE Table'!C11*5659),(U11*0.22883)),0))</f>
        <v>0</v>
      </c>
      <c r="AB11" s="19">
        <f>IF(Personnel!$C11="Cost Share",0,IF(V11&gt;0,IF(Personnel!$C11&lt;&gt;"Sum",(V11*0.22883)+('FTE Table'!D11*5659),(V11*0.22883)),0))</f>
        <v>0</v>
      </c>
      <c r="AC11" s="19">
        <f>IF(Personnel!$C11="Cost Share",0,IF(W11&gt;0,IF(Personnel!$C11&lt;&gt;"Sum",(W11*0.22883)+('FTE Table'!E11*5659),(W11*0.22883)),0))</f>
        <v>0</v>
      </c>
      <c r="AD11" s="19">
        <f>IF(Personnel!$C11="Cost Share",0,IF(X11&gt;0,IF(Personnel!$C11&lt;&gt;"Sum",(X11*0.22883)+('FTE Table'!F11*5659),(X11*0.22883)),0))</f>
        <v>0</v>
      </c>
    </row>
    <row r="12" spans="1:30" x14ac:dyDescent="0.3">
      <c r="A12" s="294">
        <f>IF(Personnel!C12="Cost Share","",Personnel!A12)</f>
        <v>0</v>
      </c>
      <c r="B12" s="48">
        <f>ROUND(IF(Personnel!$C12="Cost Share",0,IF(Personnel!$D$2="No",(Personnel!F12/Personnel!$E12)*Personnel!$D12*Personnel!F$74,IF((Personnel!$D12*Personnel!F$74)&lt;Salary_Cap,(Personnel!F12/Personnel!$E12)*Personnel!$D12*Personnel!F$74,(Personnel!F12/Personnel!$E12)*Salary_Cap))),0)</f>
        <v>0</v>
      </c>
      <c r="C12" s="48">
        <f>ROUND(IF(Personnel!$C12="Cost Share",0,IF(Personnel!$D$2="No",(Personnel!G12/Personnel!$E12)*Personnel!$D12*Personnel!G$74,IF((Personnel!$D12*Personnel!G$74)&lt;Salary_Cap,(Personnel!G12/Personnel!$E12)*Personnel!$D12*Personnel!G$74,(Personnel!G12/Personnel!$E12)*Salary_Cap))),0)</f>
        <v>0</v>
      </c>
      <c r="D12" s="48">
        <f>ROUND(IF(Personnel!$C12="Cost Share",0,IF(Personnel!$D$2="No",(Personnel!H12/Personnel!$E12)*Personnel!$D12*Personnel!H$74,IF((Personnel!$D12*Personnel!H$74)&lt;Salary_Cap,(Personnel!H12/Personnel!$E12)*Personnel!$D12*Personnel!H$74,(Personnel!H12/Personnel!$E12)*Salary_Cap))),0)</f>
        <v>0</v>
      </c>
      <c r="E12" s="48">
        <f>ROUND(IF(Personnel!$C12="Cost Share",0,IF(Personnel!$D$2="No",(Personnel!I12/Personnel!$E12)*Personnel!$D12*Personnel!I$74,IF((Personnel!$D12*Personnel!I$74)&lt;Salary_Cap,(Personnel!I12/Personnel!$E12)*Personnel!$D12*Personnel!I$74,(Personnel!I12/Personnel!$E12)*Salary_Cap))),0)</f>
        <v>0</v>
      </c>
      <c r="F12" s="48">
        <f>ROUND(IF(Personnel!$C12="Cost Share",0,IF(Personnel!$D$2="No",(Personnel!J12/Personnel!$E12)*Personnel!$D12*Personnel!J$74,IF((Personnel!$D12*Personnel!J$74)&lt;Salary_Cap,(Personnel!J12/Personnel!$E12)*Personnel!$D12*Personnel!J$74,(Personnel!J12/Personnel!$E12)*Salary_Cap))),0)</f>
        <v>0</v>
      </c>
      <c r="H12" s="48">
        <f>ROUND(IF(Personnel!$C12&lt;&gt;"Sum",B12*'Rate Table'!$E$3,'Labor Detail'!B12*'Rate Table'!$E$7),0)</f>
        <v>0</v>
      </c>
      <c r="I12" s="48">
        <f>ROUND(IF(Personnel!$C12&lt;&gt;"Sum",C12*'Rate Table'!$E$3,'Labor Detail'!C12*'Rate Table'!$E$7),0)</f>
        <v>0</v>
      </c>
      <c r="J12" s="48">
        <f>ROUND(IF(Personnel!$C12&lt;&gt;"Sum",D12*'Rate Table'!$E$3,'Labor Detail'!D12*'Rate Table'!$E$7),0)</f>
        <v>0</v>
      </c>
      <c r="K12" s="48">
        <f>ROUND(IF(Personnel!$C12&lt;&gt;"Sum",E12*'Rate Table'!$E$3,'Labor Detail'!E12*'Rate Table'!$E$7),0)</f>
        <v>0</v>
      </c>
      <c r="L12" s="48">
        <f>ROUND(IF(Personnel!$C12&lt;&gt;"Sum",F12*'Rate Table'!$E$3,'Labor Detail'!F12*'Rate Table'!$E$7),0)</f>
        <v>0</v>
      </c>
      <c r="M12" s="49"/>
      <c r="N12" s="48">
        <f>IF(Personnel!$C12="Cost Share",0,2080*'FTE Table'!B12)</f>
        <v>0</v>
      </c>
      <c r="O12" s="48">
        <f>IF(Personnel!$C12="Cost Share",0,2080*'FTE Table'!C12)</f>
        <v>0</v>
      </c>
      <c r="P12" s="48">
        <f>IF(Personnel!$C12="Cost Share",0,2080*'FTE Table'!D12)</f>
        <v>0</v>
      </c>
      <c r="Q12" s="48">
        <f>IF(Personnel!$C12="Cost Share",0,2080*'FTE Table'!E12)</f>
        <v>0</v>
      </c>
      <c r="R12" s="48">
        <f>IF(Personnel!$C12="Cost Share",0,2080*'FTE Table'!F12)</f>
        <v>0</v>
      </c>
      <c r="T12" s="19">
        <f>IF(Personnel!$C12="Cost Share",0,IF(Personnel!$D$2="yes",IF(Personnel!$D12*Personnel!F$74&gt;Salary_Cap,(Personnel!$D12*'FTE Table'!B12*Personnel!F$74)-('FTE Table'!B12*Salary_Cap),0),0))</f>
        <v>0</v>
      </c>
      <c r="U12" s="19">
        <f>IF(Personnel!$C12="Cost Share",0,IF(Personnel!$D$2="yes",IF(Personnel!$D12*Personnel!G$74&gt;Salary_Cap,(Personnel!$D12*'FTE Table'!C12*Personnel!G$74)-('FTE Table'!C12*Salary_Cap),0),0))</f>
        <v>0</v>
      </c>
      <c r="V12" s="19">
        <f>IF(Personnel!$C12="Cost Share",0,IF(Personnel!$D$2="yes",IF(Personnel!$D12*Personnel!H$74&gt;Salary_Cap,(Personnel!$D12*'FTE Table'!D12*Personnel!H$74)-('FTE Table'!D12*Salary_Cap),0),0))</f>
        <v>0</v>
      </c>
      <c r="W12" s="19">
        <f>IF(Personnel!$C12="Cost Share",0,IF(Personnel!$D$2="yes",IF(Personnel!$D12*Personnel!I$74&gt;Salary_Cap,(Personnel!$D12*'FTE Table'!E12*Personnel!I$74)-('FTE Table'!E12*Salary_Cap),0),0))</f>
        <v>0</v>
      </c>
      <c r="X12" s="19">
        <f>IF(Personnel!$C12="Cost Share",0,IF(Personnel!$D$2="yes",IF(Personnel!$D12*Personnel!J$74&gt;Salary_Cap,(Personnel!$D12*'FTE Table'!F12*Personnel!J$74)-('FTE Table'!F12*Salary_Cap),0),0))</f>
        <v>0</v>
      </c>
      <c r="Z12" s="19">
        <f>IF(Personnel!$C12="Cost Share",0,IF(T12&gt;0,IF(Personnel!$C12&lt;&gt;"Sum",(T12*0.22883)+('FTE Table'!B12*5659),(T12*0.22883)),0))</f>
        <v>0</v>
      </c>
      <c r="AA12" s="19">
        <f>IF(Personnel!$C12="Cost Share",0,IF(U12&gt;0,IF(Personnel!$C12&lt;&gt;"Sum",(U12*0.22883)+('FTE Table'!C12*5659),(U12*0.22883)),0))</f>
        <v>0</v>
      </c>
      <c r="AB12" s="19">
        <f>IF(Personnel!$C12="Cost Share",0,IF(V12&gt;0,IF(Personnel!$C12&lt;&gt;"Sum",(V12*0.22883)+('FTE Table'!D12*5659),(V12*0.22883)),0))</f>
        <v>0</v>
      </c>
      <c r="AC12" s="19">
        <f>IF(Personnel!$C12="Cost Share",0,IF(W12&gt;0,IF(Personnel!$C12&lt;&gt;"Sum",(W12*0.22883)+('FTE Table'!E12*5659),(W12*0.22883)),0))</f>
        <v>0</v>
      </c>
      <c r="AD12" s="19">
        <f>IF(Personnel!$C12="Cost Share",0,IF(X12&gt;0,IF(Personnel!$C12&lt;&gt;"Sum",(X12*0.22883)+('FTE Table'!F12*5659),(X12*0.22883)),0))</f>
        <v>0</v>
      </c>
    </row>
    <row r="13" spans="1:30" x14ac:dyDescent="0.3">
      <c r="A13" s="294">
        <f>IF(Personnel!C13="Cost Share","",Personnel!A13)</f>
        <v>0</v>
      </c>
      <c r="B13" s="48">
        <f>ROUND(IF(Personnel!$C13="Cost Share",0,IF(Personnel!$D$2="No",(Personnel!F13/Personnel!$E13)*Personnel!$D13*Personnel!F$74,IF((Personnel!$D13*Personnel!F$74)&lt;Salary_Cap,(Personnel!F13/Personnel!$E13)*Personnel!$D13*Personnel!F$74,(Personnel!F13/Personnel!$E13)*Salary_Cap))),0)</f>
        <v>0</v>
      </c>
      <c r="C13" s="48">
        <f>ROUND(IF(Personnel!$C13="Cost Share",0,IF(Personnel!$D$2="No",(Personnel!G13/Personnel!$E13)*Personnel!$D13*Personnel!G$74,IF((Personnel!$D13*Personnel!G$74)&lt;Salary_Cap,(Personnel!G13/Personnel!$E13)*Personnel!$D13*Personnel!G$74,(Personnel!G13/Personnel!$E13)*Salary_Cap))),0)</f>
        <v>0</v>
      </c>
      <c r="D13" s="48">
        <f>ROUND(IF(Personnel!$C13="Cost Share",0,IF(Personnel!$D$2="No",(Personnel!H13/Personnel!$E13)*Personnel!$D13*Personnel!H$74,IF((Personnel!$D13*Personnel!H$74)&lt;Salary_Cap,(Personnel!H13/Personnel!$E13)*Personnel!$D13*Personnel!H$74,(Personnel!H13/Personnel!$E13)*Salary_Cap))),0)</f>
        <v>0</v>
      </c>
      <c r="E13" s="48">
        <f>ROUND(IF(Personnel!$C13="Cost Share",0,IF(Personnel!$D$2="No",(Personnel!I13/Personnel!$E13)*Personnel!$D13*Personnel!I$74,IF((Personnel!$D13*Personnel!I$74)&lt;Salary_Cap,(Personnel!I13/Personnel!$E13)*Personnel!$D13*Personnel!I$74,(Personnel!I13/Personnel!$E13)*Salary_Cap))),0)</f>
        <v>0</v>
      </c>
      <c r="F13" s="48">
        <f>ROUND(IF(Personnel!$C13="Cost Share",0,IF(Personnel!$D$2="No",(Personnel!J13/Personnel!$E13)*Personnel!$D13*Personnel!J$74,IF((Personnel!$D13*Personnel!J$74)&lt;Salary_Cap,(Personnel!J13/Personnel!$E13)*Personnel!$D13*Personnel!J$74,(Personnel!J13/Personnel!$E13)*Salary_Cap))),0)</f>
        <v>0</v>
      </c>
      <c r="H13" s="48">
        <f>ROUND(IF(Personnel!$C13&lt;&gt;"Sum",B13*'Rate Table'!$E$3,'Labor Detail'!B13*'Rate Table'!$E$7),0)</f>
        <v>0</v>
      </c>
      <c r="I13" s="48">
        <f>ROUND(IF(Personnel!$C13&lt;&gt;"Sum",C13*'Rate Table'!$E$3,'Labor Detail'!C13*'Rate Table'!$E$7),0)</f>
        <v>0</v>
      </c>
      <c r="J13" s="48">
        <f>ROUND(IF(Personnel!$C13&lt;&gt;"Sum",D13*'Rate Table'!$E$3,'Labor Detail'!D13*'Rate Table'!$E$7),0)</f>
        <v>0</v>
      </c>
      <c r="K13" s="48">
        <f>ROUND(IF(Personnel!$C13&lt;&gt;"Sum",E13*'Rate Table'!$E$3,'Labor Detail'!E13*'Rate Table'!$E$7),0)</f>
        <v>0</v>
      </c>
      <c r="L13" s="48">
        <f>ROUND(IF(Personnel!$C13&lt;&gt;"Sum",F13*'Rate Table'!$E$3,'Labor Detail'!F13*'Rate Table'!$E$7),0)</f>
        <v>0</v>
      </c>
      <c r="M13" s="49"/>
      <c r="N13" s="48">
        <f>IF(Personnel!$C13="Cost Share",0,2080*'FTE Table'!B13)</f>
        <v>0</v>
      </c>
      <c r="O13" s="48">
        <f>IF(Personnel!$C13="Cost Share",0,2080*'FTE Table'!C13)</f>
        <v>0</v>
      </c>
      <c r="P13" s="48">
        <f>IF(Personnel!$C13="Cost Share",0,2080*'FTE Table'!D13)</f>
        <v>0</v>
      </c>
      <c r="Q13" s="48">
        <f>IF(Personnel!$C13="Cost Share",0,2080*'FTE Table'!E13)</f>
        <v>0</v>
      </c>
      <c r="R13" s="48">
        <f>IF(Personnel!$C13="Cost Share",0,2080*'FTE Table'!F13)</f>
        <v>0</v>
      </c>
      <c r="T13" s="19">
        <f>IF(Personnel!$C13="Cost Share",0,IF(Personnel!$D$2="yes",IF(Personnel!$D13*Personnel!F$74&gt;Salary_Cap,(Personnel!$D13*'FTE Table'!B13*Personnel!F$74)-('FTE Table'!B13*Salary_Cap),0),0))</f>
        <v>0</v>
      </c>
      <c r="U13" s="19">
        <f>IF(Personnel!$C13="Cost Share",0,IF(Personnel!$D$2="yes",IF(Personnel!$D13*Personnel!G$74&gt;Salary_Cap,(Personnel!$D13*'FTE Table'!C13*Personnel!G$74)-('FTE Table'!C13*Salary_Cap),0),0))</f>
        <v>0</v>
      </c>
      <c r="V13" s="19">
        <f>IF(Personnel!$C13="Cost Share",0,IF(Personnel!$D$2="yes",IF(Personnel!$D13*Personnel!H$74&gt;Salary_Cap,(Personnel!$D13*'FTE Table'!D13*Personnel!H$74)-('FTE Table'!D13*Salary_Cap),0),0))</f>
        <v>0</v>
      </c>
      <c r="W13" s="19">
        <f>IF(Personnel!$C13="Cost Share",0,IF(Personnel!$D$2="yes",IF(Personnel!$D13*Personnel!I$74&gt;Salary_Cap,(Personnel!$D13*'FTE Table'!E13*Personnel!I$74)-('FTE Table'!E13*Salary_Cap),0),0))</f>
        <v>0</v>
      </c>
      <c r="X13" s="19">
        <f>IF(Personnel!$C13="Cost Share",0,IF(Personnel!$D$2="yes",IF(Personnel!$D13*Personnel!J$74&gt;Salary_Cap,(Personnel!$D13*'FTE Table'!F13*Personnel!J$74)-('FTE Table'!F13*Salary_Cap),0),0))</f>
        <v>0</v>
      </c>
      <c r="Z13" s="19">
        <f>IF(Personnel!$C13="Cost Share",0,IF(T13&gt;0,IF(Personnel!$C13&lt;&gt;"Sum",(T13*0.22883)+('FTE Table'!B13*5659),(T13*0.22883)),0))</f>
        <v>0</v>
      </c>
      <c r="AA13" s="19">
        <f>IF(Personnel!$C13="Cost Share",0,IF(U13&gt;0,IF(Personnel!$C13&lt;&gt;"Sum",(U13*0.22883)+('FTE Table'!C13*5659),(U13*0.22883)),0))</f>
        <v>0</v>
      </c>
      <c r="AB13" s="19">
        <f>IF(Personnel!$C13="Cost Share",0,IF(V13&gt;0,IF(Personnel!$C13&lt;&gt;"Sum",(V13*0.22883)+('FTE Table'!D13*5659),(V13*0.22883)),0))</f>
        <v>0</v>
      </c>
      <c r="AC13" s="19">
        <f>IF(Personnel!$C13="Cost Share",0,IF(W13&gt;0,IF(Personnel!$C13&lt;&gt;"Sum",(W13*0.22883)+('FTE Table'!E13*5659),(W13*0.22883)),0))</f>
        <v>0</v>
      </c>
      <c r="AD13" s="19">
        <f>IF(Personnel!$C13="Cost Share",0,IF(X13&gt;0,IF(Personnel!$C13&lt;&gt;"Sum",(X13*0.22883)+('FTE Table'!F13*5659),(X13*0.22883)),0))</f>
        <v>0</v>
      </c>
    </row>
    <row r="14" spans="1:30" x14ac:dyDescent="0.3">
      <c r="A14" s="294">
        <f>IF(Personnel!C14="Cost Share","",Personnel!A14)</f>
        <v>0</v>
      </c>
      <c r="B14" s="48">
        <f>ROUND(IF(Personnel!$C14="Cost Share",0,IF(Personnel!$D$2="No",(Personnel!F14/Personnel!$E14)*Personnel!$D14*Personnel!F$74,IF((Personnel!$D14*Personnel!F$74)&lt;Salary_Cap,(Personnel!F14/Personnel!$E14)*Personnel!$D14*Personnel!F$74,(Personnel!F14/Personnel!$E14)*Salary_Cap))),0)</f>
        <v>0</v>
      </c>
      <c r="C14" s="48">
        <f>ROUND(IF(Personnel!$C14="Cost Share",0,IF(Personnel!$D$2="No",(Personnel!G14/Personnel!$E14)*Personnel!$D14*Personnel!G$74,IF((Personnel!$D14*Personnel!G$74)&lt;Salary_Cap,(Personnel!G14/Personnel!$E14)*Personnel!$D14*Personnel!G$74,(Personnel!G14/Personnel!$E14)*Salary_Cap))),0)</f>
        <v>0</v>
      </c>
      <c r="D14" s="48">
        <f>ROUND(IF(Personnel!$C14="Cost Share",0,IF(Personnel!$D$2="No",(Personnel!H14/Personnel!$E14)*Personnel!$D14*Personnel!H$74,IF((Personnel!$D14*Personnel!H$74)&lt;Salary_Cap,(Personnel!H14/Personnel!$E14)*Personnel!$D14*Personnel!H$74,(Personnel!H14/Personnel!$E14)*Salary_Cap))),0)</f>
        <v>0</v>
      </c>
      <c r="E14" s="48">
        <f>ROUND(IF(Personnel!$C14="Cost Share",0,IF(Personnel!$D$2="No",(Personnel!I14/Personnel!$E14)*Personnel!$D14*Personnel!I$74,IF((Personnel!$D14*Personnel!I$74)&lt;Salary_Cap,(Personnel!I14/Personnel!$E14)*Personnel!$D14*Personnel!I$74,(Personnel!I14/Personnel!$E14)*Salary_Cap))),0)</f>
        <v>0</v>
      </c>
      <c r="F14" s="48">
        <f>ROUND(IF(Personnel!$C14="Cost Share",0,IF(Personnel!$D$2="No",(Personnel!J14/Personnel!$E14)*Personnel!$D14*Personnel!J$74,IF((Personnel!$D14*Personnel!J$74)&lt;Salary_Cap,(Personnel!J14/Personnel!$E14)*Personnel!$D14*Personnel!J$74,(Personnel!J14/Personnel!$E14)*Salary_Cap))),0)</f>
        <v>0</v>
      </c>
      <c r="H14" s="48">
        <f>ROUND(IF(Personnel!$C14&lt;&gt;"Sum",B14*'Rate Table'!$E$3,'Labor Detail'!B14*'Rate Table'!$E$7),0)</f>
        <v>0</v>
      </c>
      <c r="I14" s="48">
        <f>ROUND(IF(Personnel!$C14&lt;&gt;"Sum",C14*'Rate Table'!$E$3,'Labor Detail'!C14*'Rate Table'!$E$7),0)</f>
        <v>0</v>
      </c>
      <c r="J14" s="48">
        <f>ROUND(IF(Personnel!$C14&lt;&gt;"Sum",D14*'Rate Table'!$E$3,'Labor Detail'!D14*'Rate Table'!$E$7),0)</f>
        <v>0</v>
      </c>
      <c r="K14" s="48">
        <f>ROUND(IF(Personnel!$C14&lt;&gt;"Sum",E14*'Rate Table'!$E$3,'Labor Detail'!E14*'Rate Table'!$E$7),0)</f>
        <v>0</v>
      </c>
      <c r="L14" s="48">
        <f>ROUND(IF(Personnel!$C14&lt;&gt;"Sum",F14*'Rate Table'!$E$3,'Labor Detail'!F14*'Rate Table'!$E$7),0)</f>
        <v>0</v>
      </c>
      <c r="M14" s="49"/>
      <c r="N14" s="48">
        <f>IF(Personnel!$C14="Cost Share",0,2080*'FTE Table'!B14)</f>
        <v>0</v>
      </c>
      <c r="O14" s="48">
        <f>IF(Personnel!$C14="Cost Share",0,2080*'FTE Table'!C14)</f>
        <v>0</v>
      </c>
      <c r="P14" s="48">
        <f>IF(Personnel!$C14="Cost Share",0,2080*'FTE Table'!D14)</f>
        <v>0</v>
      </c>
      <c r="Q14" s="48">
        <f>IF(Personnel!$C14="Cost Share",0,2080*'FTE Table'!E14)</f>
        <v>0</v>
      </c>
      <c r="R14" s="48">
        <f>IF(Personnel!$C14="Cost Share",0,2080*'FTE Table'!F14)</f>
        <v>0</v>
      </c>
      <c r="T14" s="19">
        <f>IF(Personnel!$C14="Cost Share",0,IF(Personnel!$D$2="yes",IF(Personnel!$D14*Personnel!F$74&gt;Salary_Cap,(Personnel!$D14*'FTE Table'!B14*Personnel!F$74)-('FTE Table'!B14*Salary_Cap),0),0))</f>
        <v>0</v>
      </c>
      <c r="U14" s="19">
        <f>IF(Personnel!$C14="Cost Share",0,IF(Personnel!$D$2="yes",IF(Personnel!$D14*Personnel!G$74&gt;Salary_Cap,(Personnel!$D14*'FTE Table'!C14*Personnel!G$74)-('FTE Table'!C14*Salary_Cap),0),0))</f>
        <v>0</v>
      </c>
      <c r="V14" s="19">
        <f>IF(Personnel!$C14="Cost Share",0,IF(Personnel!$D$2="yes",IF(Personnel!$D14*Personnel!H$74&gt;Salary_Cap,(Personnel!$D14*'FTE Table'!D14*Personnel!H$74)-('FTE Table'!D14*Salary_Cap),0),0))</f>
        <v>0</v>
      </c>
      <c r="W14" s="19">
        <f>IF(Personnel!$C14="Cost Share",0,IF(Personnel!$D$2="yes",IF(Personnel!$D14*Personnel!I$74&gt;Salary_Cap,(Personnel!$D14*'FTE Table'!E14*Personnel!I$74)-('FTE Table'!E14*Salary_Cap),0),0))</f>
        <v>0</v>
      </c>
      <c r="X14" s="19">
        <f>IF(Personnel!$C14="Cost Share",0,IF(Personnel!$D$2="yes",IF(Personnel!$D14*Personnel!J$74&gt;Salary_Cap,(Personnel!$D14*'FTE Table'!F14*Personnel!J$74)-('FTE Table'!F14*Salary_Cap),0),0))</f>
        <v>0</v>
      </c>
      <c r="Z14" s="19">
        <f>IF(Personnel!$C14="Cost Share",0,IF(T14&gt;0,IF(Personnel!$C14&lt;&gt;"Sum",(T14*0.22883)+('FTE Table'!B14*5659),(T14*0.22883)),0))</f>
        <v>0</v>
      </c>
      <c r="AA14" s="19">
        <f>IF(Personnel!$C14="Cost Share",0,IF(U14&gt;0,IF(Personnel!$C14&lt;&gt;"Sum",(U14*0.22883)+('FTE Table'!C14*5659),(U14*0.22883)),0))</f>
        <v>0</v>
      </c>
      <c r="AB14" s="19">
        <f>IF(Personnel!$C14="Cost Share",0,IF(V14&gt;0,IF(Personnel!$C14&lt;&gt;"Sum",(V14*0.22883)+('FTE Table'!D14*5659),(V14*0.22883)),0))</f>
        <v>0</v>
      </c>
      <c r="AC14" s="19">
        <f>IF(Personnel!$C14="Cost Share",0,IF(W14&gt;0,IF(Personnel!$C14&lt;&gt;"Sum",(W14*0.22883)+('FTE Table'!E14*5659),(W14*0.22883)),0))</f>
        <v>0</v>
      </c>
      <c r="AD14" s="19">
        <f>IF(Personnel!$C14="Cost Share",0,IF(X14&gt;0,IF(Personnel!$C14&lt;&gt;"Sum",(X14*0.22883)+('FTE Table'!F14*5659),(X14*0.22883)),0))</f>
        <v>0</v>
      </c>
    </row>
    <row r="15" spans="1:30" x14ac:dyDescent="0.3">
      <c r="A15" s="294">
        <f>IF(Personnel!C15="Cost Share","",Personnel!A15)</f>
        <v>0</v>
      </c>
      <c r="B15" s="48">
        <f>ROUND(IF(Personnel!$C15="Cost Share",0,IF(Personnel!$D$2="No",(Personnel!F15/Personnel!$E15)*Personnel!$D15*Personnel!F$74,IF((Personnel!$D15*Personnel!F$74)&lt;Salary_Cap,(Personnel!F15/Personnel!$E15)*Personnel!$D15*Personnel!F$74,(Personnel!F15/Personnel!$E15)*Salary_Cap))),0)</f>
        <v>0</v>
      </c>
      <c r="C15" s="48">
        <f>ROUND(IF(Personnel!$C15="Cost Share",0,IF(Personnel!$D$2="No",(Personnel!G15/Personnel!$E15)*Personnel!$D15*Personnel!G$74,IF((Personnel!$D15*Personnel!G$74)&lt;Salary_Cap,(Personnel!G15/Personnel!$E15)*Personnel!$D15*Personnel!G$74,(Personnel!G15/Personnel!$E15)*Salary_Cap))),0)</f>
        <v>0</v>
      </c>
      <c r="D15" s="48">
        <f>ROUND(IF(Personnel!$C15="Cost Share",0,IF(Personnel!$D$2="No",(Personnel!H15/Personnel!$E15)*Personnel!$D15*Personnel!H$74,IF((Personnel!$D15*Personnel!H$74)&lt;Salary_Cap,(Personnel!H15/Personnel!$E15)*Personnel!$D15*Personnel!H$74,(Personnel!H15/Personnel!$E15)*Salary_Cap))),0)</f>
        <v>0</v>
      </c>
      <c r="E15" s="48">
        <f>ROUND(IF(Personnel!$C15="Cost Share",0,IF(Personnel!$D$2="No",(Personnel!I15/Personnel!$E15)*Personnel!$D15*Personnel!I$74,IF((Personnel!$D15*Personnel!I$74)&lt;Salary_Cap,(Personnel!I15/Personnel!$E15)*Personnel!$D15*Personnel!I$74,(Personnel!I15/Personnel!$E15)*Salary_Cap))),0)</f>
        <v>0</v>
      </c>
      <c r="F15" s="48">
        <f>ROUND(IF(Personnel!$C15="Cost Share",0,IF(Personnel!$D$2="No",(Personnel!J15/Personnel!$E15)*Personnel!$D15*Personnel!J$74,IF((Personnel!$D15*Personnel!J$74)&lt;Salary_Cap,(Personnel!J15/Personnel!$E15)*Personnel!$D15*Personnel!J$74,(Personnel!J15/Personnel!$E15)*Salary_Cap))),0)</f>
        <v>0</v>
      </c>
      <c r="H15" s="48">
        <f>ROUND(IF(Personnel!$C15&lt;&gt;"Sum",B15*'Rate Table'!$E$3,'Labor Detail'!B15*'Rate Table'!$E$7),0)</f>
        <v>0</v>
      </c>
      <c r="I15" s="48">
        <f>ROUND(IF(Personnel!$C15&lt;&gt;"Sum",C15*'Rate Table'!$E$3,'Labor Detail'!C15*'Rate Table'!$E$7),0)</f>
        <v>0</v>
      </c>
      <c r="J15" s="48">
        <f>ROUND(IF(Personnel!$C15&lt;&gt;"Sum",D15*'Rate Table'!$E$3,'Labor Detail'!D15*'Rate Table'!$E$7),0)</f>
        <v>0</v>
      </c>
      <c r="K15" s="48">
        <f>ROUND(IF(Personnel!$C15&lt;&gt;"Sum",E15*'Rate Table'!$E$3,'Labor Detail'!E15*'Rate Table'!$E$7),0)</f>
        <v>0</v>
      </c>
      <c r="L15" s="48">
        <f>ROUND(IF(Personnel!$C15&lt;&gt;"Sum",F15*'Rate Table'!$E$3,'Labor Detail'!F15*'Rate Table'!$E$7),0)</f>
        <v>0</v>
      </c>
      <c r="M15" s="49"/>
      <c r="N15" s="48">
        <f>IF(Personnel!$C15="Cost Share",0,2080*'FTE Table'!B15)</f>
        <v>0</v>
      </c>
      <c r="O15" s="48">
        <f>IF(Personnel!$C15="Cost Share",0,2080*'FTE Table'!C15)</f>
        <v>0</v>
      </c>
      <c r="P15" s="48">
        <f>IF(Personnel!$C15="Cost Share",0,2080*'FTE Table'!D15)</f>
        <v>0</v>
      </c>
      <c r="Q15" s="48">
        <f>IF(Personnel!$C15="Cost Share",0,2080*'FTE Table'!E15)</f>
        <v>0</v>
      </c>
      <c r="R15" s="48">
        <f>IF(Personnel!$C15="Cost Share",0,2080*'FTE Table'!F15)</f>
        <v>0</v>
      </c>
      <c r="T15" s="19">
        <f>IF(Personnel!$C15="Cost Share",0,IF(Personnel!$D$2="yes",IF(Personnel!$D15*Personnel!F$74&gt;Salary_Cap,(Personnel!$D15*'FTE Table'!B15*Personnel!F$74)-('FTE Table'!B15*Salary_Cap),0),0))</f>
        <v>0</v>
      </c>
      <c r="U15" s="19">
        <f>IF(Personnel!$C15="Cost Share",0,IF(Personnel!$D$2="yes",IF(Personnel!$D15*Personnel!G$74&gt;Salary_Cap,(Personnel!$D15*'FTE Table'!C15*Personnel!G$74)-('FTE Table'!C15*Salary_Cap),0),0))</f>
        <v>0</v>
      </c>
      <c r="V15" s="19">
        <f>IF(Personnel!$C15="Cost Share",0,IF(Personnel!$D$2="yes",IF(Personnel!$D15*Personnel!H$74&gt;Salary_Cap,(Personnel!$D15*'FTE Table'!D15*Personnel!H$74)-('FTE Table'!D15*Salary_Cap),0),0))</f>
        <v>0</v>
      </c>
      <c r="W15" s="19">
        <f>IF(Personnel!$C15="Cost Share",0,IF(Personnel!$D$2="yes",IF(Personnel!$D15*Personnel!I$74&gt;Salary_Cap,(Personnel!$D15*'FTE Table'!E15*Personnel!I$74)-('FTE Table'!E15*Salary_Cap),0),0))</f>
        <v>0</v>
      </c>
      <c r="X15" s="19">
        <f>IF(Personnel!$C15="Cost Share",0,IF(Personnel!$D$2="yes",IF(Personnel!$D15*Personnel!J$74&gt;Salary_Cap,(Personnel!$D15*'FTE Table'!F15*Personnel!J$74)-('FTE Table'!F15*Salary_Cap),0),0))</f>
        <v>0</v>
      </c>
      <c r="Z15" s="19">
        <f>IF(Personnel!$C15="Cost Share",0,IF(T15&gt;0,IF(Personnel!$C15&lt;&gt;"Sum",(T15*0.22883)+('FTE Table'!B15*5659),(T15*0.22883)),0))</f>
        <v>0</v>
      </c>
      <c r="AA15" s="19">
        <f>IF(Personnel!$C15="Cost Share",0,IF(U15&gt;0,IF(Personnel!$C15&lt;&gt;"Sum",(U15*0.22883)+('FTE Table'!C15*5659),(U15*0.22883)),0))</f>
        <v>0</v>
      </c>
      <c r="AB15" s="19">
        <f>IF(Personnel!$C15="Cost Share",0,IF(V15&gt;0,IF(Personnel!$C15&lt;&gt;"Sum",(V15*0.22883)+('FTE Table'!D15*5659),(V15*0.22883)),0))</f>
        <v>0</v>
      </c>
      <c r="AC15" s="19">
        <f>IF(Personnel!$C15="Cost Share",0,IF(W15&gt;0,IF(Personnel!$C15&lt;&gt;"Sum",(W15*0.22883)+('FTE Table'!E15*5659),(W15*0.22883)),0))</f>
        <v>0</v>
      </c>
      <c r="AD15" s="19">
        <f>IF(Personnel!$C15="Cost Share",0,IF(X15&gt;0,IF(Personnel!$C15&lt;&gt;"Sum",(X15*0.22883)+('FTE Table'!F15*5659),(X15*0.22883)),0))</f>
        <v>0</v>
      </c>
    </row>
    <row r="16" spans="1:30" hidden="1" x14ac:dyDescent="0.3">
      <c r="A16" s="47">
        <f>Personnel!A16</f>
        <v>0</v>
      </c>
      <c r="B16" s="48">
        <f>IF(Personnel!$D$2="No",(Personnel!F16/12)*Personnel!$D16*Personnel!F$74,IF((Personnel!$D16*Personnel!F$74)&lt;Salary_Cap,(Personnel!F16/12)*Personnel!$D16*Personnel!F$74,(Personnel!F16/12)*Salary_Cap))</f>
        <v>0</v>
      </c>
      <c r="C16" s="48">
        <f>IF(Personnel!$D$2="No",(Personnel!G16/12)*Personnel!$D16*Personnel!G$74,IF((Personnel!$D16*Personnel!G$74)&lt;Salary_Cap,(Personnel!G16/12)*Personnel!$D16*Personnel!G$74,(Personnel!G16/12)*Salary_Cap))</f>
        <v>0</v>
      </c>
      <c r="D16" s="48">
        <f>IF(Personnel!$D$2="No",(Personnel!H16/12)*Personnel!$D16*Personnel!H$74,IF((Personnel!$D16*Personnel!H$74)&lt;Salary_Cap,(Personnel!H16/12)*Personnel!$D16*Personnel!H$74,(Personnel!H16/12)*Salary_Cap))</f>
        <v>0</v>
      </c>
      <c r="E16" s="48">
        <f>IF(Personnel!$D$2="No",(Personnel!I16/12)*Personnel!$D16*Personnel!I$74,IF((Personnel!$D16*Personnel!I$74)&lt;Salary_Cap,(Personnel!I16/12)*Personnel!$D16*Personnel!I$74,(Personnel!I16/12)*Salary_Cap))</f>
        <v>0</v>
      </c>
      <c r="F16" s="48">
        <f>IF(Personnel!$D$2="No",(Personnel!J16/12)*Personnel!$D16*Personnel!J$74,IF((Personnel!$D16*Personnel!J$74)&lt;Salary_Cap,(Personnel!J16/12)*Personnel!$D16*Personnel!J$74,(Personnel!J16/12)*Salary_Cap))</f>
        <v>0</v>
      </c>
      <c r="H16" s="48">
        <f>ROUND(IF(Personnel!$C16&lt;&gt;"Sum",B16*'Rate Table'!$E$3,'Labor Detail'!B16*'Rate Table'!$E$7),0)</f>
        <v>0</v>
      </c>
      <c r="I16" s="48">
        <f>ROUND(IF(Personnel!$C16&lt;&gt;"Sum",C16*'Rate Table'!$E$3,'Labor Detail'!C16*'Rate Table'!$E$7),0)</f>
        <v>0</v>
      </c>
      <c r="J16" s="48">
        <f>ROUND(IF(Personnel!$C16&lt;&gt;"Sum",D16*'Rate Table'!$E$3,'Labor Detail'!D16*'Rate Table'!$E$7),0)</f>
        <v>0</v>
      </c>
      <c r="K16" s="48">
        <f>ROUND(IF(Personnel!$C16&lt;&gt;"Sum",E16*'Rate Table'!$E$3,'Labor Detail'!E16*'Rate Table'!$E$7),0)</f>
        <v>0</v>
      </c>
      <c r="L16" s="48">
        <f>ROUND(IF(Personnel!$C16&lt;&gt;"Sum",F16*'Rate Table'!$E$3,'Labor Detail'!F16*'Rate Table'!$E$7),0)</f>
        <v>0</v>
      </c>
      <c r="M16" s="49"/>
      <c r="N16" s="48">
        <f>2080*'FTE Table'!B16</f>
        <v>0</v>
      </c>
      <c r="O16" s="48">
        <f>2080*'FTE Table'!C16</f>
        <v>0</v>
      </c>
      <c r="P16" s="48">
        <f>2080*'FTE Table'!D16</f>
        <v>0</v>
      </c>
      <c r="Q16" s="48">
        <f>2080*'FTE Table'!E16</f>
        <v>0</v>
      </c>
      <c r="R16" s="48">
        <f>2080*'FTE Table'!F16</f>
        <v>0</v>
      </c>
      <c r="T16" s="19">
        <f>IF(Personnel!$D$2="yes",IF(Personnel!$D16*Personnel!F$74&gt;Salary_Cap,(Personnel!$D16*'FTE Table'!B16*Personnel!F$74)-('FTE Table'!B16*Salary_Cap),0),0)</f>
        <v>0</v>
      </c>
      <c r="U16" s="19">
        <f>IF(Personnel!$D$2="yes",IF(Personnel!$D16*Personnel!G$74&gt;Salary_Cap,(Personnel!$D16*'FTE Table'!C16*Personnel!G$74)-('FTE Table'!C16*Salary_Cap),0),0)</f>
        <v>0</v>
      </c>
      <c r="V16" s="19">
        <f>IF(Personnel!$D$2="yes",IF(Personnel!$D16*Personnel!H$74&gt;Salary_Cap,(Personnel!$D16*'FTE Table'!D16*Personnel!H$74)-('FTE Table'!D16*Salary_Cap),0),0)</f>
        <v>0</v>
      </c>
      <c r="W16" s="19">
        <f>IF(Personnel!$D$2="yes",IF(Personnel!$D16*Personnel!I$74&gt;Salary_Cap,(Personnel!$D16*'FTE Table'!E16*Personnel!I$74)-('FTE Table'!E16*Salary_Cap),0),0)</f>
        <v>0</v>
      </c>
      <c r="X16" s="19">
        <f>IF(Personnel!$D$2="yes",IF(Personnel!$D16*Personnel!J$74&gt;Salary_Cap,(Personnel!$D16*'FTE Table'!F16*Personnel!J$74)-('FTE Table'!F16*Salary_Cap),0),0)</f>
        <v>0</v>
      </c>
      <c r="Z16" s="19">
        <f>IF(T16&gt;0,IF(Personnel!$C16&lt;&gt;"Sum",(T16*0.22883)+('FTE Table'!B16*5659),(T16*0.22883)),0)</f>
        <v>0</v>
      </c>
      <c r="AA16" s="19">
        <f>IF(U16&gt;0,IF(Personnel!$C16&lt;&gt;"Sum",(U16*0.22883)+('FTE Table'!C16*5659),(U16*0.22883)),0)</f>
        <v>0</v>
      </c>
      <c r="AB16" s="19">
        <f>IF(V16&gt;0,IF(Personnel!$C16&lt;&gt;"Sum",(V16*0.22883)+('FTE Table'!D16*5659),(V16*0.22883)),0)</f>
        <v>0</v>
      </c>
      <c r="AC16" s="19">
        <f>IF(W16&gt;0,IF(Personnel!$C16&lt;&gt;"Sum",(W16*0.22883)+('FTE Table'!E16*5659),(W16*0.22883)),0)</f>
        <v>0</v>
      </c>
      <c r="AD16" s="19">
        <f>IF(X16&gt;0,IF(Personnel!$C16&lt;&gt;"Sum",(X16*0.22883)+('FTE Table'!F16*5659),(X16*0.22883)),0)</f>
        <v>0</v>
      </c>
    </row>
    <row r="17" spans="1:30" hidden="1" x14ac:dyDescent="0.3">
      <c r="A17" s="47">
        <f>Personnel!A17</f>
        <v>0</v>
      </c>
      <c r="B17" s="48">
        <f>IF(Personnel!$D$2="No",(Personnel!F17/12)*Personnel!$D17*Personnel!F$74,IF((Personnel!$D17*Personnel!F$74)&lt;Salary_Cap,(Personnel!F17/12)*Personnel!$D17*Personnel!F$74,(Personnel!F17/12)*Salary_Cap))</f>
        <v>0</v>
      </c>
      <c r="C17" s="48">
        <f>IF(Personnel!$D$2="No",(Personnel!G17/12)*Personnel!$D17*Personnel!G$74,IF((Personnel!$D17*Personnel!G$74)&lt;Salary_Cap,(Personnel!G17/12)*Personnel!$D17*Personnel!G$74,(Personnel!G17/12)*Salary_Cap))</f>
        <v>0</v>
      </c>
      <c r="D17" s="48">
        <f>IF(Personnel!$D$2="No",(Personnel!H17/12)*Personnel!$D17*Personnel!H$74,IF((Personnel!$D17*Personnel!H$74)&lt;Salary_Cap,(Personnel!H17/12)*Personnel!$D17*Personnel!H$74,(Personnel!H17/12)*Salary_Cap))</f>
        <v>0</v>
      </c>
      <c r="E17" s="48">
        <f>IF(Personnel!$D$2="No",(Personnel!I17/12)*Personnel!$D17*Personnel!I$74,IF((Personnel!$D17*Personnel!I$74)&lt;Salary_Cap,(Personnel!I17/12)*Personnel!$D17*Personnel!I$74,(Personnel!I17/12)*Salary_Cap))</f>
        <v>0</v>
      </c>
      <c r="F17" s="48">
        <f>IF(Personnel!$D$2="No",(Personnel!J17/12)*Personnel!$D17*Personnel!J$74,IF((Personnel!$D17*Personnel!J$74)&lt;Salary_Cap,(Personnel!J17/12)*Personnel!$D17*Personnel!J$74,(Personnel!J17/12)*Salary_Cap))</f>
        <v>0</v>
      </c>
      <c r="H17" s="48">
        <f>ROUND(IF(Personnel!$C17&lt;&gt;"Sum",B17*'Rate Table'!$E$3,'Labor Detail'!B17*'Rate Table'!$E$7),0)</f>
        <v>0</v>
      </c>
      <c r="I17" s="48">
        <f>ROUND(IF(Personnel!$C17&lt;&gt;"Sum",C17*'Rate Table'!$E$3,'Labor Detail'!C17*'Rate Table'!$E$7),0)</f>
        <v>0</v>
      </c>
      <c r="J17" s="48">
        <f>ROUND(IF(Personnel!$C17&lt;&gt;"Sum",D17*'Rate Table'!$E$3,'Labor Detail'!D17*'Rate Table'!$E$7),0)</f>
        <v>0</v>
      </c>
      <c r="K17" s="48">
        <f>ROUND(IF(Personnel!$C17&lt;&gt;"Sum",E17*'Rate Table'!$E$3,'Labor Detail'!E17*'Rate Table'!$E$7),0)</f>
        <v>0</v>
      </c>
      <c r="L17" s="48">
        <f>ROUND(IF(Personnel!$C17&lt;&gt;"Sum",F17*'Rate Table'!$E$3,'Labor Detail'!F17*'Rate Table'!$E$7),0)</f>
        <v>0</v>
      </c>
      <c r="M17" s="49"/>
      <c r="N17" s="48">
        <f>2080*'FTE Table'!B17</f>
        <v>0</v>
      </c>
      <c r="O17" s="48">
        <f>2080*'FTE Table'!C17</f>
        <v>0</v>
      </c>
      <c r="P17" s="48">
        <f>2080*'FTE Table'!D17</f>
        <v>0</v>
      </c>
      <c r="Q17" s="48">
        <f>2080*'FTE Table'!E17</f>
        <v>0</v>
      </c>
      <c r="R17" s="48">
        <f>2080*'FTE Table'!F17</f>
        <v>0</v>
      </c>
      <c r="T17" s="19">
        <f>IF(Personnel!$D$2="yes",IF(Personnel!$D17*Personnel!F$74&gt;Salary_Cap,(Personnel!$D17*'FTE Table'!B17*Personnel!F$74)-('FTE Table'!B17*Salary_Cap),0),0)</f>
        <v>0</v>
      </c>
      <c r="U17" s="19">
        <f>IF(Personnel!$D$2="yes",IF(Personnel!$D17*Personnel!G$74&gt;Salary_Cap,(Personnel!$D17*'FTE Table'!C17*Personnel!G$74)-('FTE Table'!C17*Salary_Cap),0),0)</f>
        <v>0</v>
      </c>
      <c r="V17" s="19">
        <f>IF(Personnel!$D$2="yes",IF(Personnel!$D17*Personnel!H$74&gt;Salary_Cap,(Personnel!$D17*'FTE Table'!D17*Personnel!H$74)-('FTE Table'!D17*Salary_Cap),0),0)</f>
        <v>0</v>
      </c>
      <c r="W17" s="19">
        <f>IF(Personnel!$D$2="yes",IF(Personnel!$D17*Personnel!I$74&gt;Salary_Cap,(Personnel!$D17*'FTE Table'!E17*Personnel!I$74)-('FTE Table'!E17*Salary_Cap),0),0)</f>
        <v>0</v>
      </c>
      <c r="X17" s="19">
        <f>IF(Personnel!$D$2="yes",IF(Personnel!$D17*Personnel!J$74&gt;Salary_Cap,(Personnel!$D17*'FTE Table'!F17*Personnel!J$74)-('FTE Table'!F17*Salary_Cap),0),0)</f>
        <v>0</v>
      </c>
      <c r="Z17" s="19">
        <f>IF(T17&gt;0,IF(Personnel!$C17&lt;&gt;"Sum",(T17*0.22883)+('FTE Table'!B17*5659),(T17*0.22883)),0)</f>
        <v>0</v>
      </c>
      <c r="AA17" s="19">
        <f>IF(U17&gt;0,IF(Personnel!$C17&lt;&gt;"Sum",(U17*0.22883)+('FTE Table'!C17*5659),(U17*0.22883)),0)</f>
        <v>0</v>
      </c>
      <c r="AB17" s="19">
        <f>IF(V17&gt;0,IF(Personnel!$C17&lt;&gt;"Sum",(V17*0.22883)+('FTE Table'!D17*5659),(V17*0.22883)),0)</f>
        <v>0</v>
      </c>
      <c r="AC17" s="19">
        <f>IF(W17&gt;0,IF(Personnel!$C17&lt;&gt;"Sum",(W17*0.22883)+('FTE Table'!E17*5659),(W17*0.22883)),0)</f>
        <v>0</v>
      </c>
      <c r="AD17" s="19">
        <f>IF(X17&gt;0,IF(Personnel!$C17&lt;&gt;"Sum",(X17*0.22883)+('FTE Table'!F17*5659),(X17*0.22883)),0)</f>
        <v>0</v>
      </c>
    </row>
    <row r="18" spans="1:30" hidden="1" x14ac:dyDescent="0.3">
      <c r="A18" s="47">
        <f>Personnel!A18</f>
        <v>0</v>
      </c>
      <c r="B18" s="48">
        <f>IF(Personnel!$D$2="No",(Personnel!F18/12)*Personnel!$D18*Personnel!F$74,IF((Personnel!$D18*Personnel!F$74)&lt;Salary_Cap,(Personnel!F18/12)*Personnel!$D18*Personnel!F$74,(Personnel!F18/12)*Salary_Cap))</f>
        <v>0</v>
      </c>
      <c r="C18" s="48">
        <f>IF(Personnel!$D$2="No",(Personnel!G18/12)*Personnel!$D18*Personnel!G$74,IF((Personnel!$D18*Personnel!G$74)&lt;Salary_Cap,(Personnel!G18/12)*Personnel!$D18*Personnel!G$74,(Personnel!G18/12)*Salary_Cap))</f>
        <v>0</v>
      </c>
      <c r="D18" s="48">
        <f>IF(Personnel!$D$2="No",(Personnel!H18/12)*Personnel!$D18*Personnel!H$74,IF((Personnel!$D18*Personnel!H$74)&lt;Salary_Cap,(Personnel!H18/12)*Personnel!$D18*Personnel!H$74,(Personnel!H18/12)*Salary_Cap))</f>
        <v>0</v>
      </c>
      <c r="E18" s="48">
        <f>IF(Personnel!$D$2="No",(Personnel!I18/12)*Personnel!$D18*Personnel!I$74,IF((Personnel!$D18*Personnel!I$74)&lt;Salary_Cap,(Personnel!I18/12)*Personnel!$D18*Personnel!I$74,(Personnel!I18/12)*Salary_Cap))</f>
        <v>0</v>
      </c>
      <c r="F18" s="48">
        <f>IF(Personnel!$D$2="No",(Personnel!J18/12)*Personnel!$D18*Personnel!J$74,IF((Personnel!$D18*Personnel!J$74)&lt;Salary_Cap,(Personnel!J18/12)*Personnel!$D18*Personnel!J$74,(Personnel!J18/12)*Salary_Cap))</f>
        <v>0</v>
      </c>
      <c r="H18" s="48">
        <f>ROUND(IF(Personnel!$C18&lt;&gt;"Sum",B18*'Rate Table'!$E$3,'Labor Detail'!B18*'Rate Table'!$E$7),0)</f>
        <v>0</v>
      </c>
      <c r="I18" s="48">
        <f>ROUND(IF(Personnel!$C18&lt;&gt;"Sum",C18*'Rate Table'!$E$3,'Labor Detail'!C18*'Rate Table'!$E$7),0)</f>
        <v>0</v>
      </c>
      <c r="J18" s="48">
        <f>ROUND(IF(Personnel!$C18&lt;&gt;"Sum",D18*'Rate Table'!$E$3,'Labor Detail'!D18*'Rate Table'!$E$7),0)</f>
        <v>0</v>
      </c>
      <c r="K18" s="48">
        <f>ROUND(IF(Personnel!$C18&lt;&gt;"Sum",E18*'Rate Table'!$E$3,'Labor Detail'!E18*'Rate Table'!$E$7),0)</f>
        <v>0</v>
      </c>
      <c r="L18" s="48">
        <f>ROUND(IF(Personnel!$C18&lt;&gt;"Sum",F18*'Rate Table'!$E$3,'Labor Detail'!F18*'Rate Table'!$E$7),0)</f>
        <v>0</v>
      </c>
      <c r="M18" s="49"/>
      <c r="N18" s="48">
        <f>2080*'FTE Table'!B18</f>
        <v>0</v>
      </c>
      <c r="O18" s="48">
        <f>2080*'FTE Table'!C18</f>
        <v>0</v>
      </c>
      <c r="P18" s="48">
        <f>2080*'FTE Table'!D18</f>
        <v>0</v>
      </c>
      <c r="Q18" s="48">
        <f>2080*'FTE Table'!E18</f>
        <v>0</v>
      </c>
      <c r="R18" s="48">
        <f>2080*'FTE Table'!F18</f>
        <v>0</v>
      </c>
      <c r="T18" s="19">
        <f>IF(Personnel!$D$2="yes",IF(Personnel!$D18*Personnel!F$74&gt;Salary_Cap,(Personnel!$D18*'FTE Table'!B18*Personnel!F$74)-('FTE Table'!B18*Salary_Cap),0),0)</f>
        <v>0</v>
      </c>
      <c r="U18" s="19">
        <f>IF(Personnel!$D$2="yes",IF(Personnel!$D18*Personnel!G$74&gt;Salary_Cap,(Personnel!$D18*'FTE Table'!C18*Personnel!G$74)-('FTE Table'!C18*Salary_Cap),0),0)</f>
        <v>0</v>
      </c>
      <c r="V18" s="19">
        <f>IF(Personnel!$D$2="yes",IF(Personnel!$D18*Personnel!H$74&gt;Salary_Cap,(Personnel!$D18*'FTE Table'!D18*Personnel!H$74)-('FTE Table'!D18*Salary_Cap),0),0)</f>
        <v>0</v>
      </c>
      <c r="W18" s="19">
        <f>IF(Personnel!$D$2="yes",IF(Personnel!$D18*Personnel!I$74&gt;Salary_Cap,(Personnel!$D18*'FTE Table'!E18*Personnel!I$74)-('FTE Table'!E18*Salary_Cap),0),0)</f>
        <v>0</v>
      </c>
      <c r="X18" s="19">
        <f>IF(Personnel!$D$2="yes",IF(Personnel!$D18*Personnel!J$74&gt;Salary_Cap,(Personnel!$D18*'FTE Table'!F18*Personnel!J$74)-('FTE Table'!F18*Salary_Cap),0),0)</f>
        <v>0</v>
      </c>
      <c r="Z18" s="19">
        <f>IF(T18&gt;0,IF(Personnel!$C18&lt;&gt;"Sum",(T18*0.22883)+('FTE Table'!B18*5659),(T18*0.22883)),0)</f>
        <v>0</v>
      </c>
      <c r="AA18" s="19">
        <f>IF(U18&gt;0,IF(Personnel!$C18&lt;&gt;"Sum",(U18*0.22883)+('FTE Table'!C18*5659),(U18*0.22883)),0)</f>
        <v>0</v>
      </c>
      <c r="AB18" s="19">
        <f>IF(V18&gt;0,IF(Personnel!$C18&lt;&gt;"Sum",(V18*0.22883)+('FTE Table'!D18*5659),(V18*0.22883)),0)</f>
        <v>0</v>
      </c>
      <c r="AC18" s="19">
        <f>IF(W18&gt;0,IF(Personnel!$C18&lt;&gt;"Sum",(W18*0.22883)+('FTE Table'!E18*5659),(W18*0.22883)),0)</f>
        <v>0</v>
      </c>
      <c r="AD18" s="19">
        <f>IF(X18&gt;0,IF(Personnel!$C18&lt;&gt;"Sum",(X18*0.22883)+('FTE Table'!F18*5659),(X18*0.22883)),0)</f>
        <v>0</v>
      </c>
    </row>
    <row r="19" spans="1:30" hidden="1" x14ac:dyDescent="0.3">
      <c r="A19" s="47">
        <f>Personnel!A19</f>
        <v>0</v>
      </c>
      <c r="B19" s="48">
        <f>IF(Personnel!$D$2="No",(Personnel!F19/12)*Personnel!$D19*Personnel!F$74,IF((Personnel!$D19*Personnel!F$74)&lt;Salary_Cap,(Personnel!F19/12)*Personnel!$D19*Personnel!F$74,(Personnel!F19/12)*Salary_Cap))</f>
        <v>0</v>
      </c>
      <c r="C19" s="48">
        <f>IF(Personnel!$D$2="No",(Personnel!G19/12)*Personnel!$D19*Personnel!G$74,IF((Personnel!$D19*Personnel!G$74)&lt;Salary_Cap,(Personnel!G19/12)*Personnel!$D19*Personnel!G$74,(Personnel!G19/12)*Salary_Cap))</f>
        <v>0</v>
      </c>
      <c r="D19" s="48">
        <f>IF(Personnel!$D$2="No",(Personnel!H19/12)*Personnel!$D19*Personnel!H$74,IF((Personnel!$D19*Personnel!H$74)&lt;Salary_Cap,(Personnel!H19/12)*Personnel!$D19*Personnel!H$74,(Personnel!H19/12)*Salary_Cap))</f>
        <v>0</v>
      </c>
      <c r="E19" s="48">
        <f>IF(Personnel!$D$2="No",(Personnel!I19/12)*Personnel!$D19*Personnel!I$74,IF((Personnel!$D19*Personnel!I$74)&lt;Salary_Cap,(Personnel!I19/12)*Personnel!$D19*Personnel!I$74,(Personnel!I19/12)*Salary_Cap))</f>
        <v>0</v>
      </c>
      <c r="F19" s="48">
        <f>IF(Personnel!$D$2="No",(Personnel!J19/12)*Personnel!$D19*Personnel!J$74,IF((Personnel!$D19*Personnel!J$74)&lt;Salary_Cap,(Personnel!J19/12)*Personnel!$D19*Personnel!J$74,(Personnel!J19/12)*Salary_Cap))</f>
        <v>0</v>
      </c>
      <c r="H19" s="48">
        <f>ROUND(IF(Personnel!$C19&lt;&gt;"Sum",B19*'Rate Table'!$E$3,'Labor Detail'!B19*'Rate Table'!$E$7),0)</f>
        <v>0</v>
      </c>
      <c r="I19" s="48">
        <f>ROUND(IF(Personnel!$C19&lt;&gt;"Sum",C19*'Rate Table'!$E$3,'Labor Detail'!C19*'Rate Table'!$E$7),0)</f>
        <v>0</v>
      </c>
      <c r="J19" s="48">
        <f>ROUND(IF(Personnel!$C19&lt;&gt;"Sum",D19*'Rate Table'!$E$3,'Labor Detail'!D19*'Rate Table'!$E$7),0)</f>
        <v>0</v>
      </c>
      <c r="K19" s="48">
        <f>ROUND(IF(Personnel!$C19&lt;&gt;"Sum",E19*'Rate Table'!$E$3,'Labor Detail'!E19*'Rate Table'!$E$7),0)</f>
        <v>0</v>
      </c>
      <c r="L19" s="48">
        <f>ROUND(IF(Personnel!$C19&lt;&gt;"Sum",F19*'Rate Table'!$E$3,'Labor Detail'!F19*'Rate Table'!$E$7),0)</f>
        <v>0</v>
      </c>
      <c r="M19" s="49"/>
      <c r="N19" s="48">
        <f>2080*'FTE Table'!B19</f>
        <v>0</v>
      </c>
      <c r="O19" s="48">
        <f>2080*'FTE Table'!C19</f>
        <v>0</v>
      </c>
      <c r="P19" s="48">
        <f>2080*'FTE Table'!D19</f>
        <v>0</v>
      </c>
      <c r="Q19" s="48">
        <f>2080*'FTE Table'!E19</f>
        <v>0</v>
      </c>
      <c r="R19" s="48">
        <f>2080*'FTE Table'!F19</f>
        <v>0</v>
      </c>
      <c r="T19" s="19">
        <f>IF(Personnel!$D$2="yes",IF(Personnel!$D19*Personnel!F$74&gt;Salary_Cap,(Personnel!$D19*'FTE Table'!B19*Personnel!F$74)-('FTE Table'!B19*Salary_Cap),0),0)</f>
        <v>0</v>
      </c>
      <c r="U19" s="19">
        <f>IF(Personnel!$D$2="yes",IF(Personnel!$D19*Personnel!G$74&gt;Salary_Cap,(Personnel!$D19*'FTE Table'!C19*Personnel!G$74)-('FTE Table'!C19*Salary_Cap),0),0)</f>
        <v>0</v>
      </c>
      <c r="V19" s="19">
        <f>IF(Personnel!$D$2="yes",IF(Personnel!$D19*Personnel!H$74&gt;Salary_Cap,(Personnel!$D19*'FTE Table'!D19*Personnel!H$74)-('FTE Table'!D19*Salary_Cap),0),0)</f>
        <v>0</v>
      </c>
      <c r="W19" s="19">
        <f>IF(Personnel!$D$2="yes",IF(Personnel!$D19*Personnel!I$74&gt;Salary_Cap,(Personnel!$D19*'FTE Table'!E19*Personnel!I$74)-('FTE Table'!E19*Salary_Cap),0),0)</f>
        <v>0</v>
      </c>
      <c r="X19" s="19">
        <f>IF(Personnel!$D$2="yes",IF(Personnel!$D19*Personnel!J$74&gt;Salary_Cap,(Personnel!$D19*'FTE Table'!F19*Personnel!J$74)-('FTE Table'!F19*Salary_Cap),0),0)</f>
        <v>0</v>
      </c>
      <c r="Z19" s="19">
        <f>IF(T19&gt;0,IF(Personnel!$C19&lt;&gt;"Sum",(T19*0.22883)+('FTE Table'!B19*5659),(T19*0.22883)),0)</f>
        <v>0</v>
      </c>
      <c r="AA19" s="19">
        <f>IF(U19&gt;0,IF(Personnel!$C19&lt;&gt;"Sum",(U19*0.22883)+('FTE Table'!C19*5659),(U19*0.22883)),0)</f>
        <v>0</v>
      </c>
      <c r="AB19" s="19">
        <f>IF(V19&gt;0,IF(Personnel!$C19&lt;&gt;"Sum",(V19*0.22883)+('FTE Table'!D19*5659),(V19*0.22883)),0)</f>
        <v>0</v>
      </c>
      <c r="AC19" s="19">
        <f>IF(W19&gt;0,IF(Personnel!$C19&lt;&gt;"Sum",(W19*0.22883)+('FTE Table'!E19*5659),(W19*0.22883)),0)</f>
        <v>0</v>
      </c>
      <c r="AD19" s="19">
        <f>IF(X19&gt;0,IF(Personnel!$C19&lt;&gt;"Sum",(X19*0.22883)+('FTE Table'!F19*5659),(X19*0.22883)),0)</f>
        <v>0</v>
      </c>
    </row>
    <row r="20" spans="1:30" hidden="1" x14ac:dyDescent="0.3">
      <c r="A20" s="47">
        <f>Personnel!A20</f>
        <v>0</v>
      </c>
      <c r="B20" s="48">
        <f>IF(Personnel!$D$2="No",(Personnel!F20/12)*Personnel!$D20*Personnel!F$74,IF((Personnel!$D20*Personnel!F$74)&lt;Salary_Cap,(Personnel!F20/12)*Personnel!$D20*Personnel!F$74,(Personnel!F20/12)*Salary_Cap))</f>
        <v>0</v>
      </c>
      <c r="C20" s="48">
        <f>IF(Personnel!$D$2="No",(Personnel!G20/12)*Personnel!$D20*Personnel!G$74,IF((Personnel!$D20*Personnel!G$74)&lt;Salary_Cap,(Personnel!G20/12)*Personnel!$D20*Personnel!G$74,(Personnel!G20/12)*Salary_Cap))</f>
        <v>0</v>
      </c>
      <c r="D20" s="48">
        <f>IF(Personnel!$D$2="No",(Personnel!H20/12)*Personnel!$D20*Personnel!H$74,IF((Personnel!$D20*Personnel!H$74)&lt;Salary_Cap,(Personnel!H20/12)*Personnel!$D20*Personnel!H$74,(Personnel!H20/12)*Salary_Cap))</f>
        <v>0</v>
      </c>
      <c r="E20" s="48">
        <f>IF(Personnel!$D$2="No",(Personnel!I20/12)*Personnel!$D20*Personnel!I$74,IF((Personnel!$D20*Personnel!I$74)&lt;Salary_Cap,(Personnel!I20/12)*Personnel!$D20*Personnel!I$74,(Personnel!I20/12)*Salary_Cap))</f>
        <v>0</v>
      </c>
      <c r="F20" s="48">
        <f>IF(Personnel!$D$2="No",(Personnel!J20/12)*Personnel!$D20*Personnel!J$74,IF((Personnel!$D20*Personnel!J$74)&lt;Salary_Cap,(Personnel!J20/12)*Personnel!$D20*Personnel!J$74,(Personnel!J20/12)*Salary_Cap))</f>
        <v>0</v>
      </c>
      <c r="H20" s="48">
        <f>ROUND(IF(Personnel!$C20&lt;&gt;"Sum",B20*'Rate Table'!$E$3,'Labor Detail'!B20*'Rate Table'!$E$7),0)</f>
        <v>0</v>
      </c>
      <c r="I20" s="48">
        <f>ROUND(IF(Personnel!$C20&lt;&gt;"Sum",C20*'Rate Table'!$E$3,'Labor Detail'!C20*'Rate Table'!$E$7),0)</f>
        <v>0</v>
      </c>
      <c r="J20" s="48">
        <f>ROUND(IF(Personnel!$C20&lt;&gt;"Sum",D20*'Rate Table'!$E$3,'Labor Detail'!D20*'Rate Table'!$E$7),0)</f>
        <v>0</v>
      </c>
      <c r="K20" s="48">
        <f>ROUND(IF(Personnel!$C20&lt;&gt;"Sum",E20*'Rate Table'!$E$3,'Labor Detail'!E20*'Rate Table'!$E$7),0)</f>
        <v>0</v>
      </c>
      <c r="L20" s="48">
        <f>ROUND(IF(Personnel!$C20&lt;&gt;"Sum",F20*'Rate Table'!$E$3,'Labor Detail'!F20*'Rate Table'!$E$7),0)</f>
        <v>0</v>
      </c>
      <c r="M20" s="49"/>
      <c r="N20" s="48">
        <f>2080*'FTE Table'!B20</f>
        <v>0</v>
      </c>
      <c r="O20" s="48">
        <f>2080*'FTE Table'!C20</f>
        <v>0</v>
      </c>
      <c r="P20" s="48">
        <f>2080*'FTE Table'!D20</f>
        <v>0</v>
      </c>
      <c r="Q20" s="48">
        <f>2080*'FTE Table'!E20</f>
        <v>0</v>
      </c>
      <c r="R20" s="48">
        <f>2080*'FTE Table'!F20</f>
        <v>0</v>
      </c>
      <c r="T20" s="19">
        <f>IF(Personnel!$D$2="yes",IF(Personnel!$D20*Personnel!F$74&gt;Salary_Cap,(Personnel!$D20*'FTE Table'!B20*Personnel!F$74)-('FTE Table'!B20*Salary_Cap),0),0)</f>
        <v>0</v>
      </c>
      <c r="U20" s="19">
        <f>IF(Personnel!$D$2="yes",IF(Personnel!$D20*Personnel!G$74&gt;Salary_Cap,(Personnel!$D20*'FTE Table'!C20*Personnel!G$74)-('FTE Table'!C20*Salary_Cap),0),0)</f>
        <v>0</v>
      </c>
      <c r="V20" s="19">
        <f>IF(Personnel!$D$2="yes",IF(Personnel!$D20*Personnel!H$74&gt;Salary_Cap,(Personnel!$D20*'FTE Table'!D20*Personnel!H$74)-('FTE Table'!D20*Salary_Cap),0),0)</f>
        <v>0</v>
      </c>
      <c r="W20" s="19">
        <f>IF(Personnel!$D$2="yes",IF(Personnel!$D20*Personnel!I$74&gt;Salary_Cap,(Personnel!$D20*'FTE Table'!E20*Personnel!I$74)-('FTE Table'!E20*Salary_Cap),0),0)</f>
        <v>0</v>
      </c>
      <c r="X20" s="19">
        <f>IF(Personnel!$D$2="yes",IF(Personnel!$D20*Personnel!J$74&gt;Salary_Cap,(Personnel!$D20*'FTE Table'!F20*Personnel!J$74)-('FTE Table'!F20*Salary_Cap),0),0)</f>
        <v>0</v>
      </c>
      <c r="Z20" s="19">
        <f>IF(T20&gt;0,IF(Personnel!$C20&lt;&gt;"Sum",(T20*0.22883)+('FTE Table'!B20*5659),(T20*0.22883)),0)</f>
        <v>0</v>
      </c>
      <c r="AA20" s="19">
        <f>IF(U20&gt;0,IF(Personnel!$C20&lt;&gt;"Sum",(U20*0.22883)+('FTE Table'!C20*5659),(U20*0.22883)),0)</f>
        <v>0</v>
      </c>
      <c r="AB20" s="19">
        <f>IF(V20&gt;0,IF(Personnel!$C20&lt;&gt;"Sum",(V20*0.22883)+('FTE Table'!D20*5659),(V20*0.22883)),0)</f>
        <v>0</v>
      </c>
      <c r="AC20" s="19">
        <f>IF(W20&gt;0,IF(Personnel!$C20&lt;&gt;"Sum",(W20*0.22883)+('FTE Table'!E20*5659),(W20*0.22883)),0)</f>
        <v>0</v>
      </c>
      <c r="AD20" s="19">
        <f>IF(X20&gt;0,IF(Personnel!$C20&lt;&gt;"Sum",(X20*0.22883)+('FTE Table'!F20*5659),(X20*0.22883)),0)</f>
        <v>0</v>
      </c>
    </row>
    <row r="21" spans="1:30" hidden="1" x14ac:dyDescent="0.3">
      <c r="A21" s="47">
        <f>Personnel!A21</f>
        <v>0</v>
      </c>
      <c r="B21" s="48">
        <f>IF(Personnel!$D$2="No",(Personnel!F21/12)*Personnel!$D21*Personnel!F$74,IF((Personnel!$D21*Personnel!F$74)&lt;Salary_Cap,(Personnel!F21/12)*Personnel!$D21*Personnel!F$74,(Personnel!F21/12)*Salary_Cap))</f>
        <v>0</v>
      </c>
      <c r="C21" s="48">
        <f>IF(Personnel!$D$2="No",(Personnel!G21/12)*Personnel!$D21*Personnel!G$74,IF((Personnel!$D21*Personnel!G$74)&lt;Salary_Cap,(Personnel!G21/12)*Personnel!$D21*Personnel!G$74,(Personnel!G21/12)*Salary_Cap))</f>
        <v>0</v>
      </c>
      <c r="D21" s="48">
        <f>IF(Personnel!$D$2="No",(Personnel!H21/12)*Personnel!$D21*Personnel!H$74,IF((Personnel!$D21*Personnel!H$74)&lt;Salary_Cap,(Personnel!H21/12)*Personnel!$D21*Personnel!H$74,(Personnel!H21/12)*Salary_Cap))</f>
        <v>0</v>
      </c>
      <c r="E21" s="48">
        <f>IF(Personnel!$D$2="No",(Personnel!I21/12)*Personnel!$D21*Personnel!I$74,IF((Personnel!$D21*Personnel!I$74)&lt;Salary_Cap,(Personnel!I21/12)*Personnel!$D21*Personnel!I$74,(Personnel!I21/12)*Salary_Cap))</f>
        <v>0</v>
      </c>
      <c r="F21" s="48">
        <f>IF(Personnel!$D$2="No",(Personnel!J21/12)*Personnel!$D21*Personnel!J$74,IF((Personnel!$D21*Personnel!J$74)&lt;Salary_Cap,(Personnel!J21/12)*Personnel!$D21*Personnel!J$74,(Personnel!J21/12)*Salary_Cap))</f>
        <v>0</v>
      </c>
      <c r="H21" s="48">
        <f>ROUND(IF(Personnel!$C21&lt;&gt;"Sum",B21*'Rate Table'!$E$3,'Labor Detail'!B21*'Rate Table'!$E$7),0)</f>
        <v>0</v>
      </c>
      <c r="I21" s="48">
        <f>ROUND(IF(Personnel!$C21&lt;&gt;"Sum",C21*'Rate Table'!$E$3,'Labor Detail'!C21*'Rate Table'!$E$7),0)</f>
        <v>0</v>
      </c>
      <c r="J21" s="48">
        <f>ROUND(IF(Personnel!$C21&lt;&gt;"Sum",D21*'Rate Table'!$E$3,'Labor Detail'!D21*'Rate Table'!$E$7),0)</f>
        <v>0</v>
      </c>
      <c r="K21" s="48">
        <f>ROUND(IF(Personnel!$C21&lt;&gt;"Sum",E21*'Rate Table'!$E$3,'Labor Detail'!E21*'Rate Table'!$E$7),0)</f>
        <v>0</v>
      </c>
      <c r="L21" s="48">
        <f>ROUND(IF(Personnel!$C21&lt;&gt;"Sum",F21*'Rate Table'!$E$3,'Labor Detail'!F21*'Rate Table'!$E$7),0)</f>
        <v>0</v>
      </c>
      <c r="M21" s="49"/>
      <c r="N21" s="48">
        <f>2080*'FTE Table'!B21</f>
        <v>0</v>
      </c>
      <c r="O21" s="48">
        <f>2080*'FTE Table'!C21</f>
        <v>0</v>
      </c>
      <c r="P21" s="48">
        <f>2080*'FTE Table'!D21</f>
        <v>0</v>
      </c>
      <c r="Q21" s="48">
        <f>2080*'FTE Table'!E21</f>
        <v>0</v>
      </c>
      <c r="R21" s="48">
        <f>2080*'FTE Table'!F21</f>
        <v>0</v>
      </c>
      <c r="T21" s="19">
        <f>IF(Personnel!$D$2="yes",IF(Personnel!$D21*Personnel!F$74&gt;Salary_Cap,(Personnel!$D21*'FTE Table'!B21*Personnel!F$74)-('FTE Table'!B21*Salary_Cap),0),0)</f>
        <v>0</v>
      </c>
      <c r="U21" s="19">
        <f>IF(Personnel!$D$2="yes",IF(Personnel!$D21*Personnel!G$74&gt;Salary_Cap,(Personnel!$D21*'FTE Table'!C21*Personnel!G$74)-('FTE Table'!C21*Salary_Cap),0),0)</f>
        <v>0</v>
      </c>
      <c r="V21" s="19">
        <f>IF(Personnel!$D$2="yes",IF(Personnel!$D21*Personnel!H$74&gt;Salary_Cap,(Personnel!$D21*'FTE Table'!D21*Personnel!H$74)-('FTE Table'!D21*Salary_Cap),0),0)</f>
        <v>0</v>
      </c>
      <c r="W21" s="19">
        <f>IF(Personnel!$D$2="yes",IF(Personnel!$D21*Personnel!I$74&gt;Salary_Cap,(Personnel!$D21*'FTE Table'!E21*Personnel!I$74)-('FTE Table'!E21*Salary_Cap),0),0)</f>
        <v>0</v>
      </c>
      <c r="X21" s="19">
        <f>IF(Personnel!$D$2="yes",IF(Personnel!$D21*Personnel!J$74&gt;Salary_Cap,(Personnel!$D21*'FTE Table'!F21*Personnel!J$74)-('FTE Table'!F21*Salary_Cap),0),0)</f>
        <v>0</v>
      </c>
      <c r="Z21" s="19">
        <f>IF(T21&gt;0,IF(Personnel!$C21&lt;&gt;"Sum",(T21*0.22883)+('FTE Table'!B21*5659),(T21*0.22883)),0)</f>
        <v>0</v>
      </c>
      <c r="AA21" s="19">
        <f>IF(U21&gt;0,IF(Personnel!$C21&lt;&gt;"Sum",(U21*0.22883)+('FTE Table'!C21*5659),(U21*0.22883)),0)</f>
        <v>0</v>
      </c>
      <c r="AB21" s="19">
        <f>IF(V21&gt;0,IF(Personnel!$C21&lt;&gt;"Sum",(V21*0.22883)+('FTE Table'!D21*5659),(V21*0.22883)),0)</f>
        <v>0</v>
      </c>
      <c r="AC21" s="19">
        <f>IF(W21&gt;0,IF(Personnel!$C21&lt;&gt;"Sum",(W21*0.22883)+('FTE Table'!E21*5659),(W21*0.22883)),0)</f>
        <v>0</v>
      </c>
      <c r="AD21" s="19">
        <f>IF(X21&gt;0,IF(Personnel!$C21&lt;&gt;"Sum",(X21*0.22883)+('FTE Table'!F21*5659),(X21*0.22883)),0)</f>
        <v>0</v>
      </c>
    </row>
    <row r="22" spans="1:30" hidden="1" x14ac:dyDescent="0.3">
      <c r="A22" s="47">
        <f>Personnel!A22</f>
        <v>0</v>
      </c>
      <c r="B22" s="48">
        <f>IF(Personnel!$D$2="No",(Personnel!F22/12)*Personnel!$D22*Personnel!F$74,IF((Personnel!$D22*Personnel!F$74)&lt;Salary_Cap,(Personnel!F22/12)*Personnel!$D22*Personnel!F$74,(Personnel!F22/12)*Salary_Cap))</f>
        <v>0</v>
      </c>
      <c r="C22" s="48">
        <f>IF(Personnel!$D$2="No",(Personnel!G22/12)*Personnel!$D22*Personnel!G$74,IF((Personnel!$D22*Personnel!G$74)&lt;Salary_Cap,(Personnel!G22/12)*Personnel!$D22*Personnel!G$74,(Personnel!G22/12)*Salary_Cap))</f>
        <v>0</v>
      </c>
      <c r="D22" s="48">
        <f>IF(Personnel!$D$2="No",(Personnel!H22/12)*Personnel!$D22*Personnel!H$74,IF((Personnel!$D22*Personnel!H$74)&lt;Salary_Cap,(Personnel!H22/12)*Personnel!$D22*Personnel!H$74,(Personnel!H22/12)*Salary_Cap))</f>
        <v>0</v>
      </c>
      <c r="E22" s="48">
        <f>IF(Personnel!$D$2="No",(Personnel!I22/12)*Personnel!$D22*Personnel!I$74,IF((Personnel!$D22*Personnel!I$74)&lt;Salary_Cap,(Personnel!I22/12)*Personnel!$D22*Personnel!I$74,(Personnel!I22/12)*Salary_Cap))</f>
        <v>0</v>
      </c>
      <c r="F22" s="48">
        <f>IF(Personnel!$D$2="No",(Personnel!J22/12)*Personnel!$D22*Personnel!J$74,IF((Personnel!$D22*Personnel!J$74)&lt;Salary_Cap,(Personnel!J22/12)*Personnel!$D22*Personnel!J$74,(Personnel!J22/12)*Salary_Cap))</f>
        <v>0</v>
      </c>
      <c r="H22" s="48">
        <f>ROUND(IF(Personnel!$C22&lt;&gt;"Sum",B22*'Rate Table'!$E$3,'Labor Detail'!B22*'Rate Table'!$E$7),0)</f>
        <v>0</v>
      </c>
      <c r="I22" s="48">
        <f>ROUND(IF(Personnel!$C22&lt;&gt;"Sum",C22*'Rate Table'!$E$3,'Labor Detail'!C22*'Rate Table'!$E$7),0)</f>
        <v>0</v>
      </c>
      <c r="J22" s="48">
        <f>ROUND(IF(Personnel!$C22&lt;&gt;"Sum",D22*'Rate Table'!$E$3,'Labor Detail'!D22*'Rate Table'!$E$7),0)</f>
        <v>0</v>
      </c>
      <c r="K22" s="48">
        <f>ROUND(IF(Personnel!$C22&lt;&gt;"Sum",E22*'Rate Table'!$E$3,'Labor Detail'!E22*'Rate Table'!$E$7),0)</f>
        <v>0</v>
      </c>
      <c r="L22" s="48">
        <f>ROUND(IF(Personnel!$C22&lt;&gt;"Sum",F22*'Rate Table'!$E$3,'Labor Detail'!F22*'Rate Table'!$E$7),0)</f>
        <v>0</v>
      </c>
      <c r="M22" s="49"/>
      <c r="N22" s="48">
        <f>2080*'FTE Table'!B22</f>
        <v>0</v>
      </c>
      <c r="O22" s="48">
        <f>2080*'FTE Table'!C22</f>
        <v>0</v>
      </c>
      <c r="P22" s="48">
        <f>2080*'FTE Table'!D22</f>
        <v>0</v>
      </c>
      <c r="Q22" s="48">
        <f>2080*'FTE Table'!E22</f>
        <v>0</v>
      </c>
      <c r="R22" s="48">
        <f>2080*'FTE Table'!F22</f>
        <v>0</v>
      </c>
      <c r="T22" s="19">
        <f>IF(Personnel!$D$2="yes",IF(Personnel!$D22*Personnel!F$74&gt;Salary_Cap,(Personnel!$D22*'FTE Table'!B22*Personnel!F$74)-('FTE Table'!B22*Salary_Cap),0),0)</f>
        <v>0</v>
      </c>
      <c r="U22" s="19">
        <f>IF(Personnel!$D$2="yes",IF(Personnel!$D22*Personnel!G$74&gt;Salary_Cap,(Personnel!$D22*'FTE Table'!C22*Personnel!G$74)-('FTE Table'!C22*Salary_Cap),0),0)</f>
        <v>0</v>
      </c>
      <c r="V22" s="19">
        <f>IF(Personnel!$D$2="yes",IF(Personnel!$D22*Personnel!H$74&gt;Salary_Cap,(Personnel!$D22*'FTE Table'!D22*Personnel!H$74)-('FTE Table'!D22*Salary_Cap),0),0)</f>
        <v>0</v>
      </c>
      <c r="W22" s="19">
        <f>IF(Personnel!$D$2="yes",IF(Personnel!$D22*Personnel!I$74&gt;Salary_Cap,(Personnel!$D22*'FTE Table'!E22*Personnel!I$74)-('FTE Table'!E22*Salary_Cap),0),0)</f>
        <v>0</v>
      </c>
      <c r="X22" s="19">
        <f>IF(Personnel!$D$2="yes",IF(Personnel!$D22*Personnel!J$74&gt;Salary_Cap,(Personnel!$D22*'FTE Table'!F22*Personnel!J$74)-('FTE Table'!F22*Salary_Cap),0),0)</f>
        <v>0</v>
      </c>
      <c r="Z22" s="19">
        <f>IF(T22&gt;0,IF(Personnel!$C22&lt;&gt;"Sum",(T22*0.22883)+('FTE Table'!B22*5659),(T22*0.22883)),0)</f>
        <v>0</v>
      </c>
      <c r="AA22" s="19">
        <f>IF(U22&gt;0,IF(Personnel!$C22&lt;&gt;"Sum",(U22*0.22883)+('FTE Table'!C22*5659),(U22*0.22883)),0)</f>
        <v>0</v>
      </c>
      <c r="AB22" s="19">
        <f>IF(V22&gt;0,IF(Personnel!$C22&lt;&gt;"Sum",(V22*0.22883)+('FTE Table'!D22*5659),(V22*0.22883)),0)</f>
        <v>0</v>
      </c>
      <c r="AC22" s="19">
        <f>IF(W22&gt;0,IF(Personnel!$C22&lt;&gt;"Sum",(W22*0.22883)+('FTE Table'!E22*5659),(W22*0.22883)),0)</f>
        <v>0</v>
      </c>
      <c r="AD22" s="19">
        <f>IF(X22&gt;0,IF(Personnel!$C22&lt;&gt;"Sum",(X22*0.22883)+('FTE Table'!F22*5659),(X22*0.22883)),0)</f>
        <v>0</v>
      </c>
    </row>
    <row r="23" spans="1:30" hidden="1" x14ac:dyDescent="0.3">
      <c r="A23" s="47">
        <f>Personnel!A23</f>
        <v>0</v>
      </c>
      <c r="B23" s="48">
        <f>IF(Personnel!$D$2="No",(Personnel!F23/12)*Personnel!$D23*Personnel!F$74,IF((Personnel!$D23*Personnel!F$74)&lt;Salary_Cap,(Personnel!F23/12)*Personnel!$D23*Personnel!F$74,(Personnel!F23/12)*Salary_Cap))</f>
        <v>0</v>
      </c>
      <c r="C23" s="48">
        <f>IF(Personnel!$D$2="No",(Personnel!G23/12)*Personnel!$D23*Personnel!G$74,IF((Personnel!$D23*Personnel!G$74)&lt;Salary_Cap,(Personnel!G23/12)*Personnel!$D23*Personnel!G$74,(Personnel!G23/12)*Salary_Cap))</f>
        <v>0</v>
      </c>
      <c r="D23" s="48">
        <f>IF(Personnel!$D$2="No",(Personnel!H23/12)*Personnel!$D23*Personnel!H$74,IF((Personnel!$D23*Personnel!H$74)&lt;Salary_Cap,(Personnel!H23/12)*Personnel!$D23*Personnel!H$74,(Personnel!H23/12)*Salary_Cap))</f>
        <v>0</v>
      </c>
      <c r="E23" s="48">
        <f>IF(Personnel!$D$2="No",(Personnel!I23/12)*Personnel!$D23*Personnel!I$74,IF((Personnel!$D23*Personnel!I$74)&lt;Salary_Cap,(Personnel!I23/12)*Personnel!$D23*Personnel!I$74,(Personnel!I23/12)*Salary_Cap))</f>
        <v>0</v>
      </c>
      <c r="F23" s="48">
        <f>IF(Personnel!$D$2="No",(Personnel!J23/12)*Personnel!$D23*Personnel!J$74,IF((Personnel!$D23*Personnel!J$74)&lt;Salary_Cap,(Personnel!J23/12)*Personnel!$D23*Personnel!J$74,(Personnel!J23/12)*Salary_Cap))</f>
        <v>0</v>
      </c>
      <c r="H23" s="48">
        <f>ROUND(IF(Personnel!$C23&lt;&gt;"Sum",B23*'Rate Table'!$E$3,'Labor Detail'!B23*'Rate Table'!$E$7),0)</f>
        <v>0</v>
      </c>
      <c r="I23" s="48">
        <f>ROUND(IF(Personnel!$C23&lt;&gt;"Sum",C23*'Rate Table'!$E$3,'Labor Detail'!C23*'Rate Table'!$E$7),0)</f>
        <v>0</v>
      </c>
      <c r="J23" s="48">
        <f>ROUND(IF(Personnel!$C23&lt;&gt;"Sum",D23*'Rate Table'!$E$3,'Labor Detail'!D23*'Rate Table'!$E$7),0)</f>
        <v>0</v>
      </c>
      <c r="K23" s="48">
        <f>ROUND(IF(Personnel!$C23&lt;&gt;"Sum",E23*'Rate Table'!$E$3,'Labor Detail'!E23*'Rate Table'!$E$7),0)</f>
        <v>0</v>
      </c>
      <c r="L23" s="48">
        <f>ROUND(IF(Personnel!$C23&lt;&gt;"Sum",F23*'Rate Table'!$E$3,'Labor Detail'!F23*'Rate Table'!$E$7),0)</f>
        <v>0</v>
      </c>
      <c r="M23" s="49"/>
      <c r="N23" s="48">
        <f>2080*'FTE Table'!B23</f>
        <v>0</v>
      </c>
      <c r="O23" s="48">
        <f>2080*'FTE Table'!C23</f>
        <v>0</v>
      </c>
      <c r="P23" s="48">
        <f>2080*'FTE Table'!D23</f>
        <v>0</v>
      </c>
      <c r="Q23" s="48">
        <f>2080*'FTE Table'!E23</f>
        <v>0</v>
      </c>
      <c r="R23" s="48">
        <f>2080*'FTE Table'!F23</f>
        <v>0</v>
      </c>
      <c r="T23" s="19">
        <f>IF(Personnel!$D$2="yes",IF(Personnel!$D23*Personnel!F$74&gt;Salary_Cap,(Personnel!$D23*'FTE Table'!B23*Personnel!F$74)-('FTE Table'!B23*Salary_Cap),0),0)</f>
        <v>0</v>
      </c>
      <c r="U23" s="19">
        <f>IF(Personnel!$D$2="yes",IF(Personnel!$D23*Personnel!G$74&gt;Salary_Cap,(Personnel!$D23*'FTE Table'!C23*Personnel!G$74)-('FTE Table'!C23*Salary_Cap),0),0)</f>
        <v>0</v>
      </c>
      <c r="V23" s="19">
        <f>IF(Personnel!$D$2="yes",IF(Personnel!$D23*Personnel!H$74&gt;Salary_Cap,(Personnel!$D23*'FTE Table'!D23*Personnel!H$74)-('FTE Table'!D23*Salary_Cap),0),0)</f>
        <v>0</v>
      </c>
      <c r="W23" s="19">
        <f>IF(Personnel!$D$2="yes",IF(Personnel!$D23*Personnel!I$74&gt;Salary_Cap,(Personnel!$D23*'FTE Table'!E23*Personnel!I$74)-('FTE Table'!E23*Salary_Cap),0),0)</f>
        <v>0</v>
      </c>
      <c r="X23" s="19">
        <f>IF(Personnel!$D$2="yes",IF(Personnel!$D23*Personnel!J$74&gt;Salary_Cap,(Personnel!$D23*'FTE Table'!F23*Personnel!J$74)-('FTE Table'!F23*Salary_Cap),0),0)</f>
        <v>0</v>
      </c>
      <c r="Z23" s="19">
        <f>IF(T23&gt;0,IF(Personnel!$C23&lt;&gt;"Sum",(T23*0.22883)+('FTE Table'!B23*5659),(T23*0.22883)),0)</f>
        <v>0</v>
      </c>
      <c r="AA23" s="19">
        <f>IF(U23&gt;0,IF(Personnel!$C23&lt;&gt;"Sum",(U23*0.22883)+('FTE Table'!C23*5659),(U23*0.22883)),0)</f>
        <v>0</v>
      </c>
      <c r="AB23" s="19">
        <f>IF(V23&gt;0,IF(Personnel!$C23&lt;&gt;"Sum",(V23*0.22883)+('FTE Table'!D23*5659),(V23*0.22883)),0)</f>
        <v>0</v>
      </c>
      <c r="AC23" s="19">
        <f>IF(W23&gt;0,IF(Personnel!$C23&lt;&gt;"Sum",(W23*0.22883)+('FTE Table'!E23*5659),(W23*0.22883)),0)</f>
        <v>0</v>
      </c>
      <c r="AD23" s="19">
        <f>IF(X23&gt;0,IF(Personnel!$C23&lt;&gt;"Sum",(X23*0.22883)+('FTE Table'!F23*5659),(X23*0.22883)),0)</f>
        <v>0</v>
      </c>
    </row>
    <row r="24" spans="1:30" hidden="1" x14ac:dyDescent="0.3">
      <c r="A24" s="47">
        <f>Personnel!A24</f>
        <v>0</v>
      </c>
      <c r="B24" s="48">
        <f>IF(Personnel!$D$2="No",(Personnel!F24/12)*Personnel!$D24*Personnel!F$74,IF((Personnel!$D24*Personnel!F$74)&lt;Salary_Cap,(Personnel!F24/12)*Personnel!$D24*Personnel!F$74,(Personnel!F24/12)*Salary_Cap))</f>
        <v>0</v>
      </c>
      <c r="C24" s="48">
        <f>IF(Personnel!$D$2="No",(Personnel!G24/12)*Personnel!$D24*Personnel!G$74,IF((Personnel!$D24*Personnel!G$74)&lt;Salary_Cap,(Personnel!G24/12)*Personnel!$D24*Personnel!G$74,(Personnel!G24/12)*Salary_Cap))</f>
        <v>0</v>
      </c>
      <c r="D24" s="48">
        <f>IF(Personnel!$D$2="No",(Personnel!H24/12)*Personnel!$D24*Personnel!H$74,IF((Personnel!$D24*Personnel!H$74)&lt;Salary_Cap,(Personnel!H24/12)*Personnel!$D24*Personnel!H$74,(Personnel!H24/12)*Salary_Cap))</f>
        <v>0</v>
      </c>
      <c r="E24" s="48">
        <f>IF(Personnel!$D$2="No",(Personnel!I24/12)*Personnel!$D24*Personnel!I$74,IF((Personnel!$D24*Personnel!I$74)&lt;Salary_Cap,(Personnel!I24/12)*Personnel!$D24*Personnel!I$74,(Personnel!I24/12)*Salary_Cap))</f>
        <v>0</v>
      </c>
      <c r="F24" s="48">
        <f>IF(Personnel!$D$2="No",(Personnel!J24/12)*Personnel!$D24*Personnel!J$74,IF((Personnel!$D24*Personnel!J$74)&lt;Salary_Cap,(Personnel!J24/12)*Personnel!$D24*Personnel!J$74,(Personnel!J24/12)*Salary_Cap))</f>
        <v>0</v>
      </c>
      <c r="H24" s="48">
        <f>ROUND(IF(Personnel!$C24&lt;&gt;"Sum",B24*'Rate Table'!$E$3,'Labor Detail'!B24*'Rate Table'!$E$7),0)</f>
        <v>0</v>
      </c>
      <c r="I24" s="48">
        <f>ROUND(IF(Personnel!$C24&lt;&gt;"Sum",C24*'Rate Table'!$E$3,'Labor Detail'!C24*'Rate Table'!$E$7),0)</f>
        <v>0</v>
      </c>
      <c r="J24" s="48">
        <f>ROUND(IF(Personnel!$C24&lt;&gt;"Sum",D24*'Rate Table'!$E$3,'Labor Detail'!D24*'Rate Table'!$E$7),0)</f>
        <v>0</v>
      </c>
      <c r="K24" s="48">
        <f>ROUND(IF(Personnel!$C24&lt;&gt;"Sum",E24*'Rate Table'!$E$3,'Labor Detail'!E24*'Rate Table'!$E$7),0)</f>
        <v>0</v>
      </c>
      <c r="L24" s="48">
        <f>ROUND(IF(Personnel!$C24&lt;&gt;"Sum",F24*'Rate Table'!$E$3,'Labor Detail'!F24*'Rate Table'!$E$7),0)</f>
        <v>0</v>
      </c>
      <c r="M24" s="49"/>
      <c r="N24" s="48">
        <f>2080*'FTE Table'!B24</f>
        <v>0</v>
      </c>
      <c r="O24" s="48">
        <f>2080*'FTE Table'!C24</f>
        <v>0</v>
      </c>
      <c r="P24" s="48">
        <f>2080*'FTE Table'!D24</f>
        <v>0</v>
      </c>
      <c r="Q24" s="48">
        <f>2080*'FTE Table'!E24</f>
        <v>0</v>
      </c>
      <c r="R24" s="48">
        <f>2080*'FTE Table'!F24</f>
        <v>0</v>
      </c>
      <c r="T24" s="19">
        <f>IF(Personnel!$D$2="yes",IF(Personnel!$D24*Personnel!F$74&gt;Salary_Cap,(Personnel!$D24*'FTE Table'!B24*Personnel!F$74)-('FTE Table'!B24*Salary_Cap),0),0)</f>
        <v>0</v>
      </c>
      <c r="U24" s="19">
        <f>IF(Personnel!$D$2="yes",IF(Personnel!$D24*Personnel!G$74&gt;Salary_Cap,(Personnel!$D24*'FTE Table'!C24*Personnel!G$74)-('FTE Table'!C24*Salary_Cap),0),0)</f>
        <v>0</v>
      </c>
      <c r="V24" s="19">
        <f>IF(Personnel!$D$2="yes",IF(Personnel!$D24*Personnel!H$74&gt;Salary_Cap,(Personnel!$D24*'FTE Table'!D24*Personnel!H$74)-('FTE Table'!D24*Salary_Cap),0),0)</f>
        <v>0</v>
      </c>
      <c r="W24" s="19">
        <f>IF(Personnel!$D$2="yes",IF(Personnel!$D24*Personnel!I$74&gt;Salary_Cap,(Personnel!$D24*'FTE Table'!E24*Personnel!I$74)-('FTE Table'!E24*Salary_Cap),0),0)</f>
        <v>0</v>
      </c>
      <c r="X24" s="19">
        <f>IF(Personnel!$D$2="yes",IF(Personnel!$D24*Personnel!J$74&gt;Salary_Cap,(Personnel!$D24*'FTE Table'!F24*Personnel!J$74)-('FTE Table'!F24*Salary_Cap),0),0)</f>
        <v>0</v>
      </c>
      <c r="Z24" s="19">
        <f>IF(T24&gt;0,IF(Personnel!$C24&lt;&gt;"Sum",(T24*0.22883)+('FTE Table'!B24*5659),(T24*0.22883)),0)</f>
        <v>0</v>
      </c>
      <c r="AA24" s="19">
        <f>IF(U24&gt;0,IF(Personnel!$C24&lt;&gt;"Sum",(U24*0.22883)+('FTE Table'!C24*5659),(U24*0.22883)),0)</f>
        <v>0</v>
      </c>
      <c r="AB24" s="19">
        <f>IF(V24&gt;0,IF(Personnel!$C24&lt;&gt;"Sum",(V24*0.22883)+('FTE Table'!D24*5659),(V24*0.22883)),0)</f>
        <v>0</v>
      </c>
      <c r="AC24" s="19">
        <f>IF(W24&gt;0,IF(Personnel!$C24&lt;&gt;"Sum",(W24*0.22883)+('FTE Table'!E24*5659),(W24*0.22883)),0)</f>
        <v>0</v>
      </c>
      <c r="AD24" s="19">
        <f>IF(X24&gt;0,IF(Personnel!$C24&lt;&gt;"Sum",(X24*0.22883)+('FTE Table'!F24*5659),(X24*0.22883)),0)</f>
        <v>0</v>
      </c>
    </row>
    <row r="25" spans="1:30" hidden="1" x14ac:dyDescent="0.3">
      <c r="A25" s="47">
        <f>Personnel!A25</f>
        <v>0</v>
      </c>
      <c r="B25" s="48">
        <f>IF(Personnel!$D$2="No",(Personnel!F25/12)*Personnel!$D25*Personnel!F$74,IF((Personnel!$D25*Personnel!F$74)&lt;Salary_Cap,(Personnel!F25/12)*Personnel!$D25*Personnel!F$74,(Personnel!F25/12)*Salary_Cap))</f>
        <v>0</v>
      </c>
      <c r="C25" s="48">
        <f>IF(Personnel!$D$2="No",(Personnel!G25/12)*Personnel!$D25*Personnel!G$74,IF((Personnel!$D25*Personnel!G$74)&lt;Salary_Cap,(Personnel!G25/12)*Personnel!$D25*Personnel!G$74,(Personnel!G25/12)*Salary_Cap))</f>
        <v>0</v>
      </c>
      <c r="D25" s="48">
        <f>IF(Personnel!$D$2="No",(Personnel!H25/12)*Personnel!$D25*Personnel!H$74,IF((Personnel!$D25*Personnel!H$74)&lt;Salary_Cap,(Personnel!H25/12)*Personnel!$D25*Personnel!H$74,(Personnel!H25/12)*Salary_Cap))</f>
        <v>0</v>
      </c>
      <c r="E25" s="48">
        <f>IF(Personnel!$D$2="No",(Personnel!I25/12)*Personnel!$D25*Personnel!I$74,IF((Personnel!$D25*Personnel!I$74)&lt;Salary_Cap,(Personnel!I25/12)*Personnel!$D25*Personnel!I$74,(Personnel!I25/12)*Salary_Cap))</f>
        <v>0</v>
      </c>
      <c r="F25" s="48">
        <f>IF(Personnel!$D$2="No",(Personnel!J25/12)*Personnel!$D25*Personnel!J$74,IF((Personnel!$D25*Personnel!J$74)&lt;Salary_Cap,(Personnel!J25/12)*Personnel!$D25*Personnel!J$74,(Personnel!J25/12)*Salary_Cap))</f>
        <v>0</v>
      </c>
      <c r="H25" s="48">
        <f>ROUND(IF(Personnel!$C25&lt;&gt;"Sum",B25*'Rate Table'!$E$3,'Labor Detail'!B25*'Rate Table'!$E$7),0)</f>
        <v>0</v>
      </c>
      <c r="I25" s="48">
        <f>ROUND(IF(Personnel!$C25&lt;&gt;"Sum",C25*'Rate Table'!$E$3,'Labor Detail'!C25*'Rate Table'!$E$7),0)</f>
        <v>0</v>
      </c>
      <c r="J25" s="48">
        <f>ROUND(IF(Personnel!$C25&lt;&gt;"Sum",D25*'Rate Table'!$E$3,'Labor Detail'!D25*'Rate Table'!$E$7),0)</f>
        <v>0</v>
      </c>
      <c r="K25" s="48">
        <f>ROUND(IF(Personnel!$C25&lt;&gt;"Sum",E25*'Rate Table'!$E$3,'Labor Detail'!E25*'Rate Table'!$E$7),0)</f>
        <v>0</v>
      </c>
      <c r="L25" s="48">
        <f>ROUND(IF(Personnel!$C25&lt;&gt;"Sum",F25*'Rate Table'!$E$3,'Labor Detail'!F25*'Rate Table'!$E$7),0)</f>
        <v>0</v>
      </c>
      <c r="M25" s="49"/>
      <c r="N25" s="48">
        <f>2080*'FTE Table'!B25</f>
        <v>0</v>
      </c>
      <c r="O25" s="48">
        <f>2080*'FTE Table'!C25</f>
        <v>0</v>
      </c>
      <c r="P25" s="48">
        <f>2080*'FTE Table'!D25</f>
        <v>0</v>
      </c>
      <c r="Q25" s="48">
        <f>2080*'FTE Table'!E25</f>
        <v>0</v>
      </c>
      <c r="R25" s="48">
        <f>2080*'FTE Table'!F25</f>
        <v>0</v>
      </c>
      <c r="T25" s="19">
        <f>IF(Personnel!$D$2="yes",IF(Personnel!$D25*Personnel!F$74&gt;Salary_Cap,(Personnel!$D25*'FTE Table'!B25*Personnel!F$74)-('FTE Table'!B25*Salary_Cap),0),0)</f>
        <v>0</v>
      </c>
      <c r="U25" s="19">
        <f>IF(Personnel!$D$2="yes",IF(Personnel!$D25*Personnel!G$74&gt;Salary_Cap,(Personnel!$D25*'FTE Table'!C25*Personnel!G$74)-('FTE Table'!C25*Salary_Cap),0),0)</f>
        <v>0</v>
      </c>
      <c r="V25" s="19">
        <f>IF(Personnel!$D$2="yes",IF(Personnel!$D25*Personnel!H$74&gt;Salary_Cap,(Personnel!$D25*'FTE Table'!D25*Personnel!H$74)-('FTE Table'!D25*Salary_Cap),0),0)</f>
        <v>0</v>
      </c>
      <c r="W25" s="19">
        <f>IF(Personnel!$D$2="yes",IF(Personnel!$D25*Personnel!I$74&gt;Salary_Cap,(Personnel!$D25*'FTE Table'!E25*Personnel!I$74)-('FTE Table'!E25*Salary_Cap),0),0)</f>
        <v>0</v>
      </c>
      <c r="X25" s="19">
        <f>IF(Personnel!$D$2="yes",IF(Personnel!$D25*Personnel!J$74&gt;Salary_Cap,(Personnel!$D25*'FTE Table'!F25*Personnel!J$74)-('FTE Table'!F25*Salary_Cap),0),0)</f>
        <v>0</v>
      </c>
      <c r="Z25" s="19">
        <f>IF(T25&gt;0,IF(Personnel!$C25&lt;&gt;"Sum",(T25*0.22883)+('FTE Table'!B25*5659),(T25*0.22883)),0)</f>
        <v>0</v>
      </c>
      <c r="AA25" s="19">
        <f>IF(U25&gt;0,IF(Personnel!$C25&lt;&gt;"Sum",(U25*0.22883)+('FTE Table'!C25*5659),(U25*0.22883)),0)</f>
        <v>0</v>
      </c>
      <c r="AB25" s="19">
        <f>IF(V25&gt;0,IF(Personnel!$C25&lt;&gt;"Sum",(V25*0.22883)+('FTE Table'!D25*5659),(V25*0.22883)),0)</f>
        <v>0</v>
      </c>
      <c r="AC25" s="19">
        <f>IF(W25&gt;0,IF(Personnel!$C25&lt;&gt;"Sum",(W25*0.22883)+('FTE Table'!E25*5659),(W25*0.22883)),0)</f>
        <v>0</v>
      </c>
      <c r="AD25" s="19">
        <f>IF(X25&gt;0,IF(Personnel!$C25&lt;&gt;"Sum",(X25*0.22883)+('FTE Table'!F25*5659),(X25*0.22883)),0)</f>
        <v>0</v>
      </c>
    </row>
    <row r="26" spans="1:30" hidden="1" x14ac:dyDescent="0.3">
      <c r="A26" s="47">
        <f>Personnel!A26</f>
        <v>0</v>
      </c>
      <c r="B26" s="48">
        <f>IF(Personnel!$D$2="No",(Personnel!F26/12)*Personnel!$D26*Personnel!F$74,IF((Personnel!$D26*Personnel!F$74)&lt;Salary_Cap,(Personnel!F26/12)*Personnel!$D26*Personnel!F$74,(Personnel!F26/12)*Salary_Cap))</f>
        <v>0</v>
      </c>
      <c r="C26" s="48">
        <f>IF(Personnel!$D$2="No",(Personnel!G26/12)*Personnel!$D26*Personnel!G$74,IF((Personnel!$D26*Personnel!G$74)&lt;Salary_Cap,(Personnel!G26/12)*Personnel!$D26*Personnel!G$74,(Personnel!G26/12)*Salary_Cap))</f>
        <v>0</v>
      </c>
      <c r="D26" s="48">
        <f>IF(Personnel!$D$2="No",(Personnel!H26/12)*Personnel!$D26*Personnel!H$74,IF((Personnel!$D26*Personnel!H$74)&lt;Salary_Cap,(Personnel!H26/12)*Personnel!$D26*Personnel!H$74,(Personnel!H26/12)*Salary_Cap))</f>
        <v>0</v>
      </c>
      <c r="E26" s="48">
        <f>IF(Personnel!$D$2="No",(Personnel!I26/12)*Personnel!$D26*Personnel!I$74,IF((Personnel!$D26*Personnel!I$74)&lt;Salary_Cap,(Personnel!I26/12)*Personnel!$D26*Personnel!I$74,(Personnel!I26/12)*Salary_Cap))</f>
        <v>0</v>
      </c>
      <c r="F26" s="48">
        <f>IF(Personnel!$D$2="No",(Personnel!J26/12)*Personnel!$D26*Personnel!J$74,IF((Personnel!$D26*Personnel!J$74)&lt;Salary_Cap,(Personnel!J26/12)*Personnel!$D26*Personnel!J$74,(Personnel!J26/12)*Salary_Cap))</f>
        <v>0</v>
      </c>
      <c r="H26" s="48">
        <f>ROUND(IF(Personnel!$C26&lt;&gt;"Sum",B26*'Rate Table'!$E$3,'Labor Detail'!B26*'Rate Table'!$E$7),0)</f>
        <v>0</v>
      </c>
      <c r="I26" s="48">
        <f>ROUND(IF(Personnel!$C26&lt;&gt;"Sum",C26*'Rate Table'!$E$3,'Labor Detail'!C26*'Rate Table'!$E$7),0)</f>
        <v>0</v>
      </c>
      <c r="J26" s="48">
        <f>ROUND(IF(Personnel!$C26&lt;&gt;"Sum",D26*'Rate Table'!$E$3,'Labor Detail'!D26*'Rate Table'!$E$7),0)</f>
        <v>0</v>
      </c>
      <c r="K26" s="48">
        <f>ROUND(IF(Personnel!$C26&lt;&gt;"Sum",E26*'Rate Table'!$E$3,'Labor Detail'!E26*'Rate Table'!$E$7),0)</f>
        <v>0</v>
      </c>
      <c r="L26" s="48">
        <f>ROUND(IF(Personnel!$C26&lt;&gt;"Sum",F26*'Rate Table'!$E$3,'Labor Detail'!F26*'Rate Table'!$E$7),0)</f>
        <v>0</v>
      </c>
      <c r="M26" s="49"/>
      <c r="N26" s="48">
        <f>2080*'FTE Table'!B26</f>
        <v>0</v>
      </c>
      <c r="O26" s="48">
        <f>2080*'FTE Table'!C26</f>
        <v>0</v>
      </c>
      <c r="P26" s="48">
        <f>2080*'FTE Table'!D26</f>
        <v>0</v>
      </c>
      <c r="Q26" s="48">
        <f>2080*'FTE Table'!E26</f>
        <v>0</v>
      </c>
      <c r="R26" s="48">
        <f>2080*'FTE Table'!F26</f>
        <v>0</v>
      </c>
      <c r="T26" s="19">
        <f>IF(Personnel!$D$2="yes",IF(Personnel!$D26*Personnel!F$74&gt;Salary_Cap,(Personnel!$D26*'FTE Table'!B26*Personnel!F$74)-('FTE Table'!B26*Salary_Cap),0),0)</f>
        <v>0</v>
      </c>
      <c r="U26" s="19">
        <f>IF(Personnel!$D$2="yes",IF(Personnel!$D26*Personnel!G$74&gt;Salary_Cap,(Personnel!$D26*'FTE Table'!C26*Personnel!G$74)-('FTE Table'!C26*Salary_Cap),0),0)</f>
        <v>0</v>
      </c>
      <c r="V26" s="19">
        <f>IF(Personnel!$D$2="yes",IF(Personnel!$D26*Personnel!H$74&gt;Salary_Cap,(Personnel!$D26*'FTE Table'!D26*Personnel!H$74)-('FTE Table'!D26*Salary_Cap),0),0)</f>
        <v>0</v>
      </c>
      <c r="W26" s="19">
        <f>IF(Personnel!$D$2="yes",IF(Personnel!$D26*Personnel!I$74&gt;Salary_Cap,(Personnel!$D26*'FTE Table'!E26*Personnel!I$74)-('FTE Table'!E26*Salary_Cap),0),0)</f>
        <v>0</v>
      </c>
      <c r="X26" s="19">
        <f>IF(Personnel!$D$2="yes",IF(Personnel!$D26*Personnel!J$74&gt;Salary_Cap,(Personnel!$D26*'FTE Table'!F26*Personnel!J$74)-('FTE Table'!F26*Salary_Cap),0),0)</f>
        <v>0</v>
      </c>
      <c r="Z26" s="19">
        <f>IF(T26&gt;0,IF(Personnel!$C26&lt;&gt;"Sum",(T26*0.22883)+('FTE Table'!B26*5659),(T26*0.22883)),0)</f>
        <v>0</v>
      </c>
      <c r="AA26" s="19">
        <f>IF(U26&gt;0,IF(Personnel!$C26&lt;&gt;"Sum",(U26*0.22883)+('FTE Table'!C26*5659),(U26*0.22883)),0)</f>
        <v>0</v>
      </c>
      <c r="AB26" s="19">
        <f>IF(V26&gt;0,IF(Personnel!$C26&lt;&gt;"Sum",(V26*0.22883)+('FTE Table'!D26*5659),(V26*0.22883)),0)</f>
        <v>0</v>
      </c>
      <c r="AC26" s="19">
        <f>IF(W26&gt;0,IF(Personnel!$C26&lt;&gt;"Sum",(W26*0.22883)+('FTE Table'!E26*5659),(W26*0.22883)),0)</f>
        <v>0</v>
      </c>
      <c r="AD26" s="19">
        <f>IF(X26&gt;0,IF(Personnel!$C26&lt;&gt;"Sum",(X26*0.22883)+('FTE Table'!F26*5659),(X26*0.22883)),0)</f>
        <v>0</v>
      </c>
    </row>
    <row r="27" spans="1:30" hidden="1" x14ac:dyDescent="0.3">
      <c r="A27" s="47">
        <f>Personnel!A27</f>
        <v>0</v>
      </c>
      <c r="B27" s="48">
        <f>IF(Personnel!$D$2="No",(Personnel!F27/12)*Personnel!$D27*Personnel!F$74,IF((Personnel!$D27*Personnel!F$74)&lt;Salary_Cap,(Personnel!F27/12)*Personnel!$D27*Personnel!F$74,(Personnel!F27/12)*Salary_Cap))</f>
        <v>0</v>
      </c>
      <c r="C27" s="48">
        <f>IF(Personnel!$D$2="No",(Personnel!G27/12)*Personnel!$D27*Personnel!G$74,IF((Personnel!$D27*Personnel!G$74)&lt;Salary_Cap,(Personnel!G27/12)*Personnel!$D27*Personnel!G$74,(Personnel!G27/12)*Salary_Cap))</f>
        <v>0</v>
      </c>
      <c r="D27" s="48">
        <f>IF(Personnel!$D$2="No",(Personnel!H27/12)*Personnel!$D27*Personnel!H$74,IF((Personnel!$D27*Personnel!H$74)&lt;Salary_Cap,(Personnel!H27/12)*Personnel!$D27*Personnel!H$74,(Personnel!H27/12)*Salary_Cap))</f>
        <v>0</v>
      </c>
      <c r="E27" s="48">
        <f>IF(Personnel!$D$2="No",(Personnel!I27/12)*Personnel!$D27*Personnel!I$74,IF((Personnel!$D27*Personnel!I$74)&lt;Salary_Cap,(Personnel!I27/12)*Personnel!$D27*Personnel!I$74,(Personnel!I27/12)*Salary_Cap))</f>
        <v>0</v>
      </c>
      <c r="F27" s="48">
        <f>IF(Personnel!$D$2="No",(Personnel!J27/12)*Personnel!$D27*Personnel!J$74,IF((Personnel!$D27*Personnel!J$74)&lt;Salary_Cap,(Personnel!J27/12)*Personnel!$D27*Personnel!J$74,(Personnel!J27/12)*Salary_Cap))</f>
        <v>0</v>
      </c>
      <c r="H27" s="48">
        <f>ROUND(IF(Personnel!$C27&lt;&gt;"Sum",B27*'Rate Table'!$E$3,'Labor Detail'!B27*'Rate Table'!$E$7),0)</f>
        <v>0</v>
      </c>
      <c r="I27" s="48">
        <f>ROUND(IF(Personnel!$C27&lt;&gt;"Sum",C27*'Rate Table'!$E$3,'Labor Detail'!C27*'Rate Table'!$E$7),0)</f>
        <v>0</v>
      </c>
      <c r="J27" s="48">
        <f>ROUND(IF(Personnel!$C27&lt;&gt;"Sum",D27*'Rate Table'!$E$3,'Labor Detail'!D27*'Rate Table'!$E$7),0)</f>
        <v>0</v>
      </c>
      <c r="K27" s="48">
        <f>ROUND(IF(Personnel!$C27&lt;&gt;"Sum",E27*'Rate Table'!$E$3,'Labor Detail'!E27*'Rate Table'!$E$7),0)</f>
        <v>0</v>
      </c>
      <c r="L27" s="48">
        <f>ROUND(IF(Personnel!$C27&lt;&gt;"Sum",F27*'Rate Table'!$E$3,'Labor Detail'!F27*'Rate Table'!$E$7),0)</f>
        <v>0</v>
      </c>
      <c r="M27" s="49"/>
      <c r="N27" s="48">
        <f>2080*'FTE Table'!B27</f>
        <v>0</v>
      </c>
      <c r="O27" s="48">
        <f>2080*'FTE Table'!C27</f>
        <v>0</v>
      </c>
      <c r="P27" s="48">
        <f>2080*'FTE Table'!D27</f>
        <v>0</v>
      </c>
      <c r="Q27" s="48">
        <f>2080*'FTE Table'!E27</f>
        <v>0</v>
      </c>
      <c r="R27" s="48">
        <f>2080*'FTE Table'!F27</f>
        <v>0</v>
      </c>
      <c r="T27" s="19">
        <f>IF(Personnel!$D$2="yes",IF(Personnel!$D27*Personnel!F$74&gt;Salary_Cap,(Personnel!$D27*'FTE Table'!B27*Personnel!F$74)-('FTE Table'!B27*Salary_Cap),0),0)</f>
        <v>0</v>
      </c>
      <c r="U27" s="19">
        <f>IF(Personnel!$D$2="yes",IF(Personnel!$D27*Personnel!G$74&gt;Salary_Cap,(Personnel!$D27*'FTE Table'!C27*Personnel!G$74)-('FTE Table'!C27*Salary_Cap),0),0)</f>
        <v>0</v>
      </c>
      <c r="V27" s="19">
        <f>IF(Personnel!$D$2="yes",IF(Personnel!$D27*Personnel!H$74&gt;Salary_Cap,(Personnel!$D27*'FTE Table'!D27*Personnel!H$74)-('FTE Table'!D27*Salary_Cap),0),0)</f>
        <v>0</v>
      </c>
      <c r="W27" s="19">
        <f>IF(Personnel!$D$2="yes",IF(Personnel!$D27*Personnel!I$74&gt;Salary_Cap,(Personnel!$D27*'FTE Table'!E27*Personnel!I$74)-('FTE Table'!E27*Salary_Cap),0),0)</f>
        <v>0</v>
      </c>
      <c r="X27" s="19">
        <f>IF(Personnel!$D$2="yes",IF(Personnel!$D27*Personnel!J$74&gt;Salary_Cap,(Personnel!$D27*'FTE Table'!F27*Personnel!J$74)-('FTE Table'!F27*Salary_Cap),0),0)</f>
        <v>0</v>
      </c>
      <c r="Z27" s="19">
        <f>IF(T27&gt;0,IF(Personnel!$C27&lt;&gt;"Sum",(T27*0.22883)+('FTE Table'!B27*5659),(T27*0.22883)),0)</f>
        <v>0</v>
      </c>
      <c r="AA27" s="19">
        <f>IF(U27&gt;0,IF(Personnel!$C27&lt;&gt;"Sum",(U27*0.22883)+('FTE Table'!C27*5659),(U27*0.22883)),0)</f>
        <v>0</v>
      </c>
      <c r="AB27" s="19">
        <f>IF(V27&gt;0,IF(Personnel!$C27&lt;&gt;"Sum",(V27*0.22883)+('FTE Table'!D27*5659),(V27*0.22883)),0)</f>
        <v>0</v>
      </c>
      <c r="AC27" s="19">
        <f>IF(W27&gt;0,IF(Personnel!$C27&lt;&gt;"Sum",(W27*0.22883)+('FTE Table'!E27*5659),(W27*0.22883)),0)</f>
        <v>0</v>
      </c>
      <c r="AD27" s="19">
        <f>IF(X27&gt;0,IF(Personnel!$C27&lt;&gt;"Sum",(X27*0.22883)+('FTE Table'!F27*5659),(X27*0.22883)),0)</f>
        <v>0</v>
      </c>
    </row>
    <row r="28" spans="1:30" hidden="1" x14ac:dyDescent="0.3">
      <c r="A28" s="47">
        <f>Personnel!A28</f>
        <v>0</v>
      </c>
      <c r="B28" s="48">
        <f>IF(Personnel!$D$2="No",(Personnel!F28/12)*Personnel!$D28*Personnel!F$74,IF((Personnel!$D28*Personnel!F$74)&lt;Salary_Cap,(Personnel!F28/12)*Personnel!$D28*Personnel!F$74,(Personnel!F28/12)*Salary_Cap))</f>
        <v>0</v>
      </c>
      <c r="C28" s="48">
        <f>IF(Personnel!$D$2="No",(Personnel!G28/12)*Personnel!$D28*Personnel!G$74,IF((Personnel!$D28*Personnel!G$74)&lt;Salary_Cap,(Personnel!G28/12)*Personnel!$D28*Personnel!G$74,(Personnel!G28/12)*Salary_Cap))</f>
        <v>0</v>
      </c>
      <c r="D28" s="48">
        <f>IF(Personnel!$D$2="No",(Personnel!H28/12)*Personnel!$D28*Personnel!H$74,IF((Personnel!$D28*Personnel!H$74)&lt;Salary_Cap,(Personnel!H28/12)*Personnel!$D28*Personnel!H$74,(Personnel!H28/12)*Salary_Cap))</f>
        <v>0</v>
      </c>
      <c r="E28" s="48">
        <f>IF(Personnel!$D$2="No",(Personnel!I28/12)*Personnel!$D28*Personnel!I$74,IF((Personnel!$D28*Personnel!I$74)&lt;Salary_Cap,(Personnel!I28/12)*Personnel!$D28*Personnel!I$74,(Personnel!I28/12)*Salary_Cap))</f>
        <v>0</v>
      </c>
      <c r="F28" s="48">
        <f>IF(Personnel!$D$2="No",(Personnel!J28/12)*Personnel!$D28*Personnel!J$74,IF((Personnel!$D28*Personnel!J$74)&lt;Salary_Cap,(Personnel!J28/12)*Personnel!$D28*Personnel!J$74,(Personnel!J28/12)*Salary_Cap))</f>
        <v>0</v>
      </c>
      <c r="H28" s="48">
        <f>ROUND(IF(Personnel!$C28&lt;&gt;"Sum",B28*'Rate Table'!$E$3,'Labor Detail'!B28*'Rate Table'!$E$7),0)</f>
        <v>0</v>
      </c>
      <c r="I28" s="48">
        <f>ROUND(IF(Personnel!$C28&lt;&gt;"Sum",C28*'Rate Table'!$E$3,'Labor Detail'!C28*'Rate Table'!$E$7),0)</f>
        <v>0</v>
      </c>
      <c r="J28" s="48">
        <f>ROUND(IF(Personnel!$C28&lt;&gt;"Sum",D28*'Rate Table'!$E$3,'Labor Detail'!D28*'Rate Table'!$E$7),0)</f>
        <v>0</v>
      </c>
      <c r="K28" s="48">
        <f>ROUND(IF(Personnel!$C28&lt;&gt;"Sum",E28*'Rate Table'!$E$3,'Labor Detail'!E28*'Rate Table'!$E$7),0)</f>
        <v>0</v>
      </c>
      <c r="L28" s="48">
        <f>ROUND(IF(Personnel!$C28&lt;&gt;"Sum",F28*'Rate Table'!$E$3,'Labor Detail'!F28*'Rate Table'!$E$7),0)</f>
        <v>0</v>
      </c>
      <c r="M28" s="49"/>
      <c r="N28" s="48">
        <f>2080*'FTE Table'!B28</f>
        <v>0</v>
      </c>
      <c r="O28" s="48">
        <f>2080*'FTE Table'!C28</f>
        <v>0</v>
      </c>
      <c r="P28" s="48">
        <f>2080*'FTE Table'!D28</f>
        <v>0</v>
      </c>
      <c r="Q28" s="48">
        <f>2080*'FTE Table'!E28</f>
        <v>0</v>
      </c>
      <c r="R28" s="48">
        <f>2080*'FTE Table'!F28</f>
        <v>0</v>
      </c>
      <c r="T28" s="19">
        <f>IF(Personnel!$D$2="yes",IF(Personnel!$D28*Personnel!F$74&gt;Salary_Cap,(Personnel!$D28*'FTE Table'!B28*Personnel!F$74)-('FTE Table'!B28*Salary_Cap),0),0)</f>
        <v>0</v>
      </c>
      <c r="U28" s="19">
        <f>IF(Personnel!$D$2="yes",IF(Personnel!$D28*Personnel!G$74&gt;Salary_Cap,(Personnel!$D28*'FTE Table'!C28*Personnel!G$74)-('FTE Table'!C28*Salary_Cap),0),0)</f>
        <v>0</v>
      </c>
      <c r="V28" s="19">
        <f>IF(Personnel!$D$2="yes",IF(Personnel!$D28*Personnel!H$74&gt;Salary_Cap,(Personnel!$D28*'FTE Table'!D28*Personnel!H$74)-('FTE Table'!D28*Salary_Cap),0),0)</f>
        <v>0</v>
      </c>
      <c r="W28" s="19">
        <f>IF(Personnel!$D$2="yes",IF(Personnel!$D28*Personnel!I$74&gt;Salary_Cap,(Personnel!$D28*'FTE Table'!E28*Personnel!I$74)-('FTE Table'!E28*Salary_Cap),0),0)</f>
        <v>0</v>
      </c>
      <c r="X28" s="19">
        <f>IF(Personnel!$D$2="yes",IF(Personnel!$D28*Personnel!J$74&gt;Salary_Cap,(Personnel!$D28*'FTE Table'!F28*Personnel!J$74)-('FTE Table'!F28*Salary_Cap),0),0)</f>
        <v>0</v>
      </c>
      <c r="Z28" s="19">
        <f>IF(T28&gt;0,IF(Personnel!$C28&lt;&gt;"Sum",(T28*0.22883)+('FTE Table'!B28*5659),(T28*0.22883)),0)</f>
        <v>0</v>
      </c>
      <c r="AA28" s="19">
        <f>IF(U28&gt;0,IF(Personnel!$C28&lt;&gt;"Sum",(U28*0.22883)+('FTE Table'!C28*5659),(U28*0.22883)),0)</f>
        <v>0</v>
      </c>
      <c r="AB28" s="19">
        <f>IF(V28&gt;0,IF(Personnel!$C28&lt;&gt;"Sum",(V28*0.22883)+('FTE Table'!D28*5659),(V28*0.22883)),0)</f>
        <v>0</v>
      </c>
      <c r="AC28" s="19">
        <f>IF(W28&gt;0,IF(Personnel!$C28&lt;&gt;"Sum",(W28*0.22883)+('FTE Table'!E28*5659),(W28*0.22883)),0)</f>
        <v>0</v>
      </c>
      <c r="AD28" s="19">
        <f>IF(X28&gt;0,IF(Personnel!$C28&lt;&gt;"Sum",(X28*0.22883)+('FTE Table'!F28*5659),(X28*0.22883)),0)</f>
        <v>0</v>
      </c>
    </row>
    <row r="29" spans="1:30" hidden="1" x14ac:dyDescent="0.3">
      <c r="A29" s="47">
        <f>Personnel!A29</f>
        <v>0</v>
      </c>
      <c r="B29" s="48">
        <f>IF(Personnel!$D$2="No",(Personnel!F29/12)*Personnel!$D29*Personnel!F$74,IF((Personnel!$D29*Personnel!F$74)&lt;Salary_Cap,(Personnel!F29/12)*Personnel!$D29*Personnel!F$74,(Personnel!F29/12)*Salary_Cap))</f>
        <v>0</v>
      </c>
      <c r="C29" s="48">
        <f>IF(Personnel!$D$2="No",(Personnel!G29/12)*Personnel!$D29*Personnel!G$74,IF((Personnel!$D29*Personnel!G$74)&lt;Salary_Cap,(Personnel!G29/12)*Personnel!$D29*Personnel!G$74,(Personnel!G29/12)*Salary_Cap))</f>
        <v>0</v>
      </c>
      <c r="D29" s="48">
        <f>IF(Personnel!$D$2="No",(Personnel!H29/12)*Personnel!$D29*Personnel!H$74,IF((Personnel!$D29*Personnel!H$74)&lt;Salary_Cap,(Personnel!H29/12)*Personnel!$D29*Personnel!H$74,(Personnel!H29/12)*Salary_Cap))</f>
        <v>0</v>
      </c>
      <c r="E29" s="48">
        <f>IF(Personnel!$D$2="No",(Personnel!I29/12)*Personnel!$D29*Personnel!I$74,IF((Personnel!$D29*Personnel!I$74)&lt;Salary_Cap,(Personnel!I29/12)*Personnel!$D29*Personnel!I$74,(Personnel!I29/12)*Salary_Cap))</f>
        <v>0</v>
      </c>
      <c r="F29" s="48">
        <f>IF(Personnel!$D$2="No",(Personnel!J29/12)*Personnel!$D29*Personnel!J$74,IF((Personnel!$D29*Personnel!J$74)&lt;Salary_Cap,(Personnel!J29/12)*Personnel!$D29*Personnel!J$74,(Personnel!J29/12)*Salary_Cap))</f>
        <v>0</v>
      </c>
      <c r="H29" s="48">
        <f>ROUND(IF(Personnel!$C29&lt;&gt;"Sum",B29*'Rate Table'!$E$3,'Labor Detail'!B29*'Rate Table'!$E$7),0)</f>
        <v>0</v>
      </c>
      <c r="I29" s="48">
        <f>ROUND(IF(Personnel!$C29&lt;&gt;"Sum",C29*'Rate Table'!$E$3,'Labor Detail'!C29*'Rate Table'!$E$7),0)</f>
        <v>0</v>
      </c>
      <c r="J29" s="48">
        <f>ROUND(IF(Personnel!$C29&lt;&gt;"Sum",D29*'Rate Table'!$E$3,'Labor Detail'!D29*'Rate Table'!$E$7),0)</f>
        <v>0</v>
      </c>
      <c r="K29" s="48">
        <f>ROUND(IF(Personnel!$C29&lt;&gt;"Sum",E29*'Rate Table'!$E$3,'Labor Detail'!E29*'Rate Table'!$E$7),0)</f>
        <v>0</v>
      </c>
      <c r="L29" s="48">
        <f>ROUND(IF(Personnel!$C29&lt;&gt;"Sum",F29*'Rate Table'!$E$3,'Labor Detail'!F29*'Rate Table'!$E$7),0)</f>
        <v>0</v>
      </c>
      <c r="M29" s="49"/>
      <c r="N29" s="48">
        <f>2080*'FTE Table'!B29</f>
        <v>0</v>
      </c>
      <c r="O29" s="48">
        <f>2080*'FTE Table'!C29</f>
        <v>0</v>
      </c>
      <c r="P29" s="48">
        <f>2080*'FTE Table'!D29</f>
        <v>0</v>
      </c>
      <c r="Q29" s="48">
        <f>2080*'FTE Table'!E29</f>
        <v>0</v>
      </c>
      <c r="R29" s="48">
        <f>2080*'FTE Table'!F29</f>
        <v>0</v>
      </c>
      <c r="T29" s="19">
        <f>IF(Personnel!$D$2="yes",IF(Personnel!$D29*Personnel!F$74&gt;Salary_Cap,(Personnel!$D29*'FTE Table'!B29*Personnel!F$74)-('FTE Table'!B29*Salary_Cap),0),0)</f>
        <v>0</v>
      </c>
      <c r="U29" s="19">
        <f>IF(Personnel!$D$2="yes",IF(Personnel!$D29*Personnel!G$74&gt;Salary_Cap,(Personnel!$D29*'FTE Table'!C29*Personnel!G$74)-('FTE Table'!C29*Salary_Cap),0),0)</f>
        <v>0</v>
      </c>
      <c r="V29" s="19">
        <f>IF(Personnel!$D$2="yes",IF(Personnel!$D29*Personnel!H$74&gt;Salary_Cap,(Personnel!$D29*'FTE Table'!D29*Personnel!H$74)-('FTE Table'!D29*Salary_Cap),0),0)</f>
        <v>0</v>
      </c>
      <c r="W29" s="19">
        <f>IF(Personnel!$D$2="yes",IF(Personnel!$D29*Personnel!I$74&gt;Salary_Cap,(Personnel!$D29*'FTE Table'!E29*Personnel!I$74)-('FTE Table'!E29*Salary_Cap),0),0)</f>
        <v>0</v>
      </c>
      <c r="X29" s="19">
        <f>IF(Personnel!$D$2="yes",IF(Personnel!$D29*Personnel!J$74&gt;Salary_Cap,(Personnel!$D29*'FTE Table'!F29*Personnel!J$74)-('FTE Table'!F29*Salary_Cap),0),0)</f>
        <v>0</v>
      </c>
      <c r="Z29" s="19">
        <f>IF(T29&gt;0,IF(Personnel!$C29&lt;&gt;"Sum",(T29*0.22883)+('FTE Table'!B29*5659),(T29*0.22883)),0)</f>
        <v>0</v>
      </c>
      <c r="AA29" s="19">
        <f>IF(U29&gt;0,IF(Personnel!$C29&lt;&gt;"Sum",(U29*0.22883)+('FTE Table'!C29*5659),(U29*0.22883)),0)</f>
        <v>0</v>
      </c>
      <c r="AB29" s="19">
        <f>IF(V29&gt;0,IF(Personnel!$C29&lt;&gt;"Sum",(V29*0.22883)+('FTE Table'!D29*5659),(V29*0.22883)),0)</f>
        <v>0</v>
      </c>
      <c r="AC29" s="19">
        <f>IF(W29&gt;0,IF(Personnel!$C29&lt;&gt;"Sum",(W29*0.22883)+('FTE Table'!E29*5659),(W29*0.22883)),0)</f>
        <v>0</v>
      </c>
      <c r="AD29" s="19">
        <f>IF(X29&gt;0,IF(Personnel!$C29&lt;&gt;"Sum",(X29*0.22883)+('FTE Table'!F29*5659),(X29*0.22883)),0)</f>
        <v>0</v>
      </c>
    </row>
    <row r="30" spans="1:30" hidden="1" x14ac:dyDescent="0.3">
      <c r="A30" s="47">
        <f>Personnel!A30</f>
        <v>0</v>
      </c>
      <c r="B30" s="48">
        <f>IF(Personnel!$D$2="No",(Personnel!F30/12)*Personnel!$D30*Personnel!F$74,IF((Personnel!$D30*Personnel!F$74)&lt;Salary_Cap,(Personnel!F30/12)*Personnel!$D30*Personnel!F$74,(Personnel!F30/12)*Salary_Cap))</f>
        <v>0</v>
      </c>
      <c r="C30" s="48">
        <f>IF(Personnel!$D$2="No",(Personnel!G30/12)*Personnel!$D30*Personnel!G$74,IF((Personnel!$D30*Personnel!G$74)&lt;Salary_Cap,(Personnel!G30/12)*Personnel!$D30*Personnel!G$74,(Personnel!G30/12)*Salary_Cap))</f>
        <v>0</v>
      </c>
      <c r="D30" s="48">
        <f>IF(Personnel!$D$2="No",(Personnel!H30/12)*Personnel!$D30*Personnel!H$74,IF((Personnel!$D30*Personnel!H$74)&lt;Salary_Cap,(Personnel!H30/12)*Personnel!$D30*Personnel!H$74,(Personnel!H30/12)*Salary_Cap))</f>
        <v>0</v>
      </c>
      <c r="E30" s="48">
        <f>IF(Personnel!$D$2="No",(Personnel!I30/12)*Personnel!$D30*Personnel!I$74,IF((Personnel!$D30*Personnel!I$74)&lt;Salary_Cap,(Personnel!I30/12)*Personnel!$D30*Personnel!I$74,(Personnel!I30/12)*Salary_Cap))</f>
        <v>0</v>
      </c>
      <c r="F30" s="48">
        <f>IF(Personnel!$D$2="No",(Personnel!J30/12)*Personnel!$D30*Personnel!J$74,IF((Personnel!$D30*Personnel!J$74)&lt;Salary_Cap,(Personnel!J30/12)*Personnel!$D30*Personnel!J$74,(Personnel!J30/12)*Salary_Cap))</f>
        <v>0</v>
      </c>
      <c r="H30" s="48">
        <f>ROUND(IF(Personnel!$C30&lt;&gt;"Sum",B30*'Rate Table'!$E$3,'Labor Detail'!B30*'Rate Table'!$E$7),0)</f>
        <v>0</v>
      </c>
      <c r="I30" s="48">
        <f>ROUND(IF(Personnel!$C30&lt;&gt;"Sum",C30*'Rate Table'!$E$3,'Labor Detail'!C30*'Rate Table'!$E$7),0)</f>
        <v>0</v>
      </c>
      <c r="J30" s="48">
        <f>ROUND(IF(Personnel!$C30&lt;&gt;"Sum",D30*'Rate Table'!$E$3,'Labor Detail'!D30*'Rate Table'!$E$7),0)</f>
        <v>0</v>
      </c>
      <c r="K30" s="48">
        <f>ROUND(IF(Personnel!$C30&lt;&gt;"Sum",E30*'Rate Table'!$E$3,'Labor Detail'!E30*'Rate Table'!$E$7),0)</f>
        <v>0</v>
      </c>
      <c r="L30" s="48">
        <f>ROUND(IF(Personnel!$C30&lt;&gt;"Sum",F30*'Rate Table'!$E$3,'Labor Detail'!F30*'Rate Table'!$E$7),0)</f>
        <v>0</v>
      </c>
      <c r="M30" s="49"/>
      <c r="N30" s="48">
        <f>2080*'FTE Table'!B30</f>
        <v>0</v>
      </c>
      <c r="O30" s="48">
        <f>2080*'FTE Table'!C30</f>
        <v>0</v>
      </c>
      <c r="P30" s="48">
        <f>2080*'FTE Table'!D30</f>
        <v>0</v>
      </c>
      <c r="Q30" s="48">
        <f>2080*'FTE Table'!E30</f>
        <v>0</v>
      </c>
      <c r="R30" s="48">
        <f>2080*'FTE Table'!F30</f>
        <v>0</v>
      </c>
      <c r="T30" s="19">
        <f>IF(Personnel!$D$2="yes",IF(Personnel!$D30*Personnel!F$74&gt;Salary_Cap,(Personnel!$D30*'FTE Table'!B30*Personnel!F$74)-('FTE Table'!B30*Salary_Cap),0),0)</f>
        <v>0</v>
      </c>
      <c r="U30" s="19">
        <f>IF(Personnel!$D$2="yes",IF(Personnel!$D30*Personnel!G$74&gt;Salary_Cap,(Personnel!$D30*'FTE Table'!C30*Personnel!G$74)-('FTE Table'!C30*Salary_Cap),0),0)</f>
        <v>0</v>
      </c>
      <c r="V30" s="19">
        <f>IF(Personnel!$D$2="yes",IF(Personnel!$D30*Personnel!H$74&gt;Salary_Cap,(Personnel!$D30*'FTE Table'!D30*Personnel!H$74)-('FTE Table'!D30*Salary_Cap),0),0)</f>
        <v>0</v>
      </c>
      <c r="W30" s="19">
        <f>IF(Personnel!$D$2="yes",IF(Personnel!$D30*Personnel!I$74&gt;Salary_Cap,(Personnel!$D30*'FTE Table'!E30*Personnel!I$74)-('FTE Table'!E30*Salary_Cap),0),0)</f>
        <v>0</v>
      </c>
      <c r="X30" s="19">
        <f>IF(Personnel!$D$2="yes",IF(Personnel!$D30*Personnel!J$74&gt;Salary_Cap,(Personnel!$D30*'FTE Table'!F30*Personnel!J$74)-('FTE Table'!F30*Salary_Cap),0),0)</f>
        <v>0</v>
      </c>
      <c r="Z30" s="19">
        <f>IF(T30&gt;0,IF(Personnel!$C30&lt;&gt;"Sum",(T30*0.22883)+('FTE Table'!B30*5659),(T30*0.22883)),0)</f>
        <v>0</v>
      </c>
      <c r="AA30" s="19">
        <f>IF(U30&gt;0,IF(Personnel!$C30&lt;&gt;"Sum",(U30*0.22883)+('FTE Table'!C30*5659),(U30*0.22883)),0)</f>
        <v>0</v>
      </c>
      <c r="AB30" s="19">
        <f>IF(V30&gt;0,IF(Personnel!$C30&lt;&gt;"Sum",(V30*0.22883)+('FTE Table'!D30*5659),(V30*0.22883)),0)</f>
        <v>0</v>
      </c>
      <c r="AC30" s="19">
        <f>IF(W30&gt;0,IF(Personnel!$C30&lt;&gt;"Sum",(W30*0.22883)+('FTE Table'!E30*5659),(W30*0.22883)),0)</f>
        <v>0</v>
      </c>
      <c r="AD30" s="19">
        <f>IF(X30&gt;0,IF(Personnel!$C30&lt;&gt;"Sum",(X30*0.22883)+('FTE Table'!F30*5659),(X30*0.22883)),0)</f>
        <v>0</v>
      </c>
    </row>
    <row r="31" spans="1:30" hidden="1" x14ac:dyDescent="0.3">
      <c r="A31" s="47">
        <f>Personnel!A31</f>
        <v>0</v>
      </c>
      <c r="B31" s="48">
        <f>IF(Personnel!$D$2="No",(Personnel!F31/12)*Personnel!$D31*Personnel!F$74,IF((Personnel!$D31*Personnel!F$74)&lt;Salary_Cap,(Personnel!F31/12)*Personnel!$D31*Personnel!F$74,(Personnel!F31/12)*Salary_Cap))</f>
        <v>0</v>
      </c>
      <c r="C31" s="48">
        <f>IF(Personnel!$D$2="No",(Personnel!G31/12)*Personnel!$D31*Personnel!G$74,IF((Personnel!$D31*Personnel!G$74)&lt;Salary_Cap,(Personnel!G31/12)*Personnel!$D31*Personnel!G$74,(Personnel!G31/12)*Salary_Cap))</f>
        <v>0</v>
      </c>
      <c r="D31" s="48">
        <f>IF(Personnel!$D$2="No",(Personnel!H31/12)*Personnel!$D31*Personnel!H$74,IF((Personnel!$D31*Personnel!H$74)&lt;Salary_Cap,(Personnel!H31/12)*Personnel!$D31*Personnel!H$74,(Personnel!H31/12)*Salary_Cap))</f>
        <v>0</v>
      </c>
      <c r="E31" s="48">
        <f>IF(Personnel!$D$2="No",(Personnel!I31/12)*Personnel!$D31*Personnel!I$74,IF((Personnel!$D31*Personnel!I$74)&lt;Salary_Cap,(Personnel!I31/12)*Personnel!$D31*Personnel!I$74,(Personnel!I31/12)*Salary_Cap))</f>
        <v>0</v>
      </c>
      <c r="F31" s="48">
        <f>IF(Personnel!$D$2="No",(Personnel!J31/12)*Personnel!$D31*Personnel!J$74,IF((Personnel!$D31*Personnel!J$74)&lt;Salary_Cap,(Personnel!J31/12)*Personnel!$D31*Personnel!J$74,(Personnel!J31/12)*Salary_Cap))</f>
        <v>0</v>
      </c>
      <c r="H31" s="48">
        <f>ROUND(IF(Personnel!$C31&lt;&gt;"Sum",B31*'Rate Table'!$E$3,'Labor Detail'!B31*'Rate Table'!$E$7),0)</f>
        <v>0</v>
      </c>
      <c r="I31" s="48">
        <f>ROUND(IF(Personnel!$C31&lt;&gt;"Sum",C31*'Rate Table'!$E$3,'Labor Detail'!C31*'Rate Table'!$E$7),0)</f>
        <v>0</v>
      </c>
      <c r="J31" s="48">
        <f>ROUND(IF(Personnel!$C31&lt;&gt;"Sum",D31*'Rate Table'!$E$3,'Labor Detail'!D31*'Rate Table'!$E$7),0)</f>
        <v>0</v>
      </c>
      <c r="K31" s="48">
        <f>ROUND(IF(Personnel!$C31&lt;&gt;"Sum",E31*'Rate Table'!$E$3,'Labor Detail'!E31*'Rate Table'!$E$7),0)</f>
        <v>0</v>
      </c>
      <c r="L31" s="48">
        <f>ROUND(IF(Personnel!$C31&lt;&gt;"Sum",F31*'Rate Table'!$E$3,'Labor Detail'!F31*'Rate Table'!$E$7),0)</f>
        <v>0</v>
      </c>
      <c r="M31" s="49"/>
      <c r="N31" s="48">
        <f>2080*'FTE Table'!B31</f>
        <v>0</v>
      </c>
      <c r="O31" s="48">
        <f>2080*'FTE Table'!C31</f>
        <v>0</v>
      </c>
      <c r="P31" s="48">
        <f>2080*'FTE Table'!D31</f>
        <v>0</v>
      </c>
      <c r="Q31" s="48">
        <f>2080*'FTE Table'!E31</f>
        <v>0</v>
      </c>
      <c r="R31" s="48">
        <f>2080*'FTE Table'!F31</f>
        <v>0</v>
      </c>
      <c r="T31" s="19">
        <f>IF(Personnel!$D$2="yes",IF(Personnel!$D31*Personnel!F$74&gt;Salary_Cap,(Personnel!$D31*'FTE Table'!B31*Personnel!F$74)-('FTE Table'!B31*Salary_Cap),0),0)</f>
        <v>0</v>
      </c>
      <c r="U31" s="19">
        <f>IF(Personnel!$D$2="yes",IF(Personnel!$D31*Personnel!G$74&gt;Salary_Cap,(Personnel!$D31*'FTE Table'!C31*Personnel!G$74)-('FTE Table'!C31*Salary_Cap),0),0)</f>
        <v>0</v>
      </c>
      <c r="V31" s="19">
        <f>IF(Personnel!$D$2="yes",IF(Personnel!$D31*Personnel!H$74&gt;Salary_Cap,(Personnel!$D31*'FTE Table'!D31*Personnel!H$74)-('FTE Table'!D31*Salary_Cap),0),0)</f>
        <v>0</v>
      </c>
      <c r="W31" s="19">
        <f>IF(Personnel!$D$2="yes",IF(Personnel!$D31*Personnel!I$74&gt;Salary_Cap,(Personnel!$D31*'FTE Table'!E31*Personnel!I$74)-('FTE Table'!E31*Salary_Cap),0),0)</f>
        <v>0</v>
      </c>
      <c r="X31" s="19">
        <f>IF(Personnel!$D$2="yes",IF(Personnel!$D31*Personnel!J$74&gt;Salary_Cap,(Personnel!$D31*'FTE Table'!F31*Personnel!J$74)-('FTE Table'!F31*Salary_Cap),0),0)</f>
        <v>0</v>
      </c>
      <c r="Z31" s="19">
        <f>IF(T31&gt;0,IF(Personnel!$C31&lt;&gt;"Sum",(T31*0.22883)+('FTE Table'!B31*5659),(T31*0.22883)),0)</f>
        <v>0</v>
      </c>
      <c r="AA31" s="19">
        <f>IF(U31&gt;0,IF(Personnel!$C31&lt;&gt;"Sum",(U31*0.22883)+('FTE Table'!C31*5659),(U31*0.22883)),0)</f>
        <v>0</v>
      </c>
      <c r="AB31" s="19">
        <f>IF(V31&gt;0,IF(Personnel!$C31&lt;&gt;"Sum",(V31*0.22883)+('FTE Table'!D31*5659),(V31*0.22883)),0)</f>
        <v>0</v>
      </c>
      <c r="AC31" s="19">
        <f>IF(W31&gt;0,IF(Personnel!$C31&lt;&gt;"Sum",(W31*0.22883)+('FTE Table'!E31*5659),(W31*0.22883)),0)</f>
        <v>0</v>
      </c>
      <c r="AD31" s="19">
        <f>IF(X31&gt;0,IF(Personnel!$C31&lt;&gt;"Sum",(X31*0.22883)+('FTE Table'!F31*5659),(X31*0.22883)),0)</f>
        <v>0</v>
      </c>
    </row>
    <row r="32" spans="1:30" hidden="1" x14ac:dyDescent="0.3">
      <c r="A32" s="47">
        <f>Personnel!A32</f>
        <v>0</v>
      </c>
      <c r="B32" s="48">
        <f>IF(Personnel!$D$2="No",(Personnel!F32/12)*Personnel!$D32*Personnel!F$74,IF((Personnel!$D32*Personnel!F$74)&lt;Salary_Cap,(Personnel!F32/12)*Personnel!$D32*Personnel!F$74,(Personnel!F32/12)*Salary_Cap))</f>
        <v>0</v>
      </c>
      <c r="C32" s="48">
        <f>IF(Personnel!$D$2="No",(Personnel!G32/12)*Personnel!$D32*Personnel!G$74,IF((Personnel!$D32*Personnel!G$74)&lt;Salary_Cap,(Personnel!G32/12)*Personnel!$D32*Personnel!G$74,(Personnel!G32/12)*Salary_Cap))</f>
        <v>0</v>
      </c>
      <c r="D32" s="48">
        <f>IF(Personnel!$D$2="No",(Personnel!H32/12)*Personnel!$D32*Personnel!H$74,IF((Personnel!$D32*Personnel!H$74)&lt;Salary_Cap,(Personnel!H32/12)*Personnel!$D32*Personnel!H$74,(Personnel!H32/12)*Salary_Cap))</f>
        <v>0</v>
      </c>
      <c r="E32" s="48">
        <f>IF(Personnel!$D$2="No",(Personnel!I32/12)*Personnel!$D32*Personnel!I$74,IF((Personnel!$D32*Personnel!I$74)&lt;Salary_Cap,(Personnel!I32/12)*Personnel!$D32*Personnel!I$74,(Personnel!I32/12)*Salary_Cap))</f>
        <v>0</v>
      </c>
      <c r="F32" s="48">
        <f>IF(Personnel!$D$2="No",(Personnel!J32/12)*Personnel!$D32*Personnel!J$74,IF((Personnel!$D32*Personnel!J$74)&lt;Salary_Cap,(Personnel!J32/12)*Personnel!$D32*Personnel!J$74,(Personnel!J32/12)*Salary_Cap))</f>
        <v>0</v>
      </c>
      <c r="H32" s="48">
        <f>ROUND(IF(Personnel!$C32&lt;&gt;"Sum",B32*'Rate Table'!$E$3,'Labor Detail'!B32*'Rate Table'!$E$7),0)</f>
        <v>0</v>
      </c>
      <c r="I32" s="48">
        <f>ROUND(IF(Personnel!$C32&lt;&gt;"Sum",C32*'Rate Table'!$E$3,'Labor Detail'!C32*'Rate Table'!$E$7),0)</f>
        <v>0</v>
      </c>
      <c r="J32" s="48">
        <f>ROUND(IF(Personnel!$C32&lt;&gt;"Sum",D32*'Rate Table'!$E$3,'Labor Detail'!D32*'Rate Table'!$E$7),0)</f>
        <v>0</v>
      </c>
      <c r="K32" s="48">
        <f>ROUND(IF(Personnel!$C32&lt;&gt;"Sum",E32*'Rate Table'!$E$3,'Labor Detail'!E32*'Rate Table'!$E$7),0)</f>
        <v>0</v>
      </c>
      <c r="L32" s="48">
        <f>ROUND(IF(Personnel!$C32&lt;&gt;"Sum",F32*'Rate Table'!$E$3,'Labor Detail'!F32*'Rate Table'!$E$7),0)</f>
        <v>0</v>
      </c>
      <c r="M32" s="49"/>
      <c r="N32" s="48">
        <f>2080*'FTE Table'!B32</f>
        <v>0</v>
      </c>
      <c r="O32" s="48">
        <f>2080*'FTE Table'!C32</f>
        <v>0</v>
      </c>
      <c r="P32" s="48">
        <f>2080*'FTE Table'!D32</f>
        <v>0</v>
      </c>
      <c r="Q32" s="48">
        <f>2080*'FTE Table'!E32</f>
        <v>0</v>
      </c>
      <c r="R32" s="48">
        <f>2080*'FTE Table'!F32</f>
        <v>0</v>
      </c>
      <c r="T32" s="19">
        <f>IF(Personnel!$D$2="yes",IF(Personnel!$D32*Personnel!F$74&gt;Salary_Cap,(Personnel!$D32*'FTE Table'!B32*Personnel!F$74)-('FTE Table'!B32*Salary_Cap),0),0)</f>
        <v>0</v>
      </c>
      <c r="U32" s="19">
        <f>IF(Personnel!$D$2="yes",IF(Personnel!$D32*Personnel!G$74&gt;Salary_Cap,(Personnel!$D32*'FTE Table'!C32*Personnel!G$74)-('FTE Table'!C32*Salary_Cap),0),0)</f>
        <v>0</v>
      </c>
      <c r="V32" s="19">
        <f>IF(Personnel!$D$2="yes",IF(Personnel!$D32*Personnel!H$74&gt;Salary_Cap,(Personnel!$D32*'FTE Table'!D32*Personnel!H$74)-('FTE Table'!D32*Salary_Cap),0),0)</f>
        <v>0</v>
      </c>
      <c r="W32" s="19">
        <f>IF(Personnel!$D$2="yes",IF(Personnel!$D32*Personnel!I$74&gt;Salary_Cap,(Personnel!$D32*'FTE Table'!E32*Personnel!I$74)-('FTE Table'!E32*Salary_Cap),0),0)</f>
        <v>0</v>
      </c>
      <c r="X32" s="19">
        <f>IF(Personnel!$D$2="yes",IF(Personnel!$D32*Personnel!J$74&gt;Salary_Cap,(Personnel!$D32*'FTE Table'!F32*Personnel!J$74)-('FTE Table'!F32*Salary_Cap),0),0)</f>
        <v>0</v>
      </c>
      <c r="Z32" s="19">
        <f>IF(T32&gt;0,IF(Personnel!$C32&lt;&gt;"Sum",(T32*0.22883)+('FTE Table'!B32*5659),(T32*0.22883)),0)</f>
        <v>0</v>
      </c>
      <c r="AA32" s="19">
        <f>IF(U32&gt;0,IF(Personnel!$C32&lt;&gt;"Sum",(U32*0.22883)+('FTE Table'!C32*5659),(U32*0.22883)),0)</f>
        <v>0</v>
      </c>
      <c r="AB32" s="19">
        <f>IF(V32&gt;0,IF(Personnel!$C32&lt;&gt;"Sum",(V32*0.22883)+('FTE Table'!D32*5659),(V32*0.22883)),0)</f>
        <v>0</v>
      </c>
      <c r="AC32" s="19">
        <f>IF(W32&gt;0,IF(Personnel!$C32&lt;&gt;"Sum",(W32*0.22883)+('FTE Table'!E32*5659),(W32*0.22883)),0)</f>
        <v>0</v>
      </c>
      <c r="AD32" s="19">
        <f>IF(X32&gt;0,IF(Personnel!$C32&lt;&gt;"Sum",(X32*0.22883)+('FTE Table'!F32*5659),(X32*0.22883)),0)</f>
        <v>0</v>
      </c>
    </row>
    <row r="33" spans="1:30" hidden="1" x14ac:dyDescent="0.3">
      <c r="A33" s="47">
        <f>Personnel!A33</f>
        <v>0</v>
      </c>
      <c r="B33" s="48">
        <f>IF(Personnel!$D$2="No",(Personnel!F33/12)*Personnel!$D33*Personnel!F$74,IF((Personnel!$D33*Personnel!F$74)&lt;Salary_Cap,(Personnel!F33/12)*Personnel!$D33*Personnel!F$74,(Personnel!F33/12)*Salary_Cap))</f>
        <v>0</v>
      </c>
      <c r="C33" s="48">
        <f>IF(Personnel!$D$2="No",(Personnel!G33/12)*Personnel!$D33*Personnel!G$74,IF((Personnel!$D33*Personnel!G$74)&lt;Salary_Cap,(Personnel!G33/12)*Personnel!$D33*Personnel!G$74,(Personnel!G33/12)*Salary_Cap))</f>
        <v>0</v>
      </c>
      <c r="D33" s="48">
        <f>IF(Personnel!$D$2="No",(Personnel!H33/12)*Personnel!$D33*Personnel!H$74,IF((Personnel!$D33*Personnel!H$74)&lt;Salary_Cap,(Personnel!H33/12)*Personnel!$D33*Personnel!H$74,(Personnel!H33/12)*Salary_Cap))</f>
        <v>0</v>
      </c>
      <c r="E33" s="48">
        <f>IF(Personnel!$D$2="No",(Personnel!I33/12)*Personnel!$D33*Personnel!I$74,IF((Personnel!$D33*Personnel!I$74)&lt;Salary_Cap,(Personnel!I33/12)*Personnel!$D33*Personnel!I$74,(Personnel!I33/12)*Salary_Cap))</f>
        <v>0</v>
      </c>
      <c r="F33" s="48">
        <f>IF(Personnel!$D$2="No",(Personnel!J33/12)*Personnel!$D33*Personnel!J$74,IF((Personnel!$D33*Personnel!J$74)&lt;Salary_Cap,(Personnel!J33/12)*Personnel!$D33*Personnel!J$74,(Personnel!J33/12)*Salary_Cap))</f>
        <v>0</v>
      </c>
      <c r="H33" s="48">
        <f>ROUND(IF(Personnel!$C33&lt;&gt;"Sum",B33*'Rate Table'!$E$3,'Labor Detail'!B33*'Rate Table'!$E$7),0)</f>
        <v>0</v>
      </c>
      <c r="I33" s="48">
        <f>ROUND(IF(Personnel!$C33&lt;&gt;"Sum",C33*'Rate Table'!$E$3,'Labor Detail'!C33*'Rate Table'!$E$7),0)</f>
        <v>0</v>
      </c>
      <c r="J33" s="48">
        <f>ROUND(IF(Personnel!$C33&lt;&gt;"Sum",D33*'Rate Table'!$E$3,'Labor Detail'!D33*'Rate Table'!$E$7),0)</f>
        <v>0</v>
      </c>
      <c r="K33" s="48">
        <f>ROUND(IF(Personnel!$C33&lt;&gt;"Sum",E33*'Rate Table'!$E$3,'Labor Detail'!E33*'Rate Table'!$E$7),0)</f>
        <v>0</v>
      </c>
      <c r="L33" s="48">
        <f>ROUND(IF(Personnel!$C33&lt;&gt;"Sum",F33*'Rate Table'!$E$3,'Labor Detail'!F33*'Rate Table'!$E$7),0)</f>
        <v>0</v>
      </c>
      <c r="M33" s="49"/>
      <c r="N33" s="48">
        <f>2080*'FTE Table'!B33</f>
        <v>0</v>
      </c>
      <c r="O33" s="48">
        <f>2080*'FTE Table'!C33</f>
        <v>0</v>
      </c>
      <c r="P33" s="48">
        <f>2080*'FTE Table'!D33</f>
        <v>0</v>
      </c>
      <c r="Q33" s="48">
        <f>2080*'FTE Table'!E33</f>
        <v>0</v>
      </c>
      <c r="R33" s="48">
        <f>2080*'FTE Table'!F33</f>
        <v>0</v>
      </c>
      <c r="T33" s="19">
        <f>IF(Personnel!$D$2="yes",IF(Personnel!$D33*Personnel!F$74&gt;Salary_Cap,(Personnel!$D33*'FTE Table'!B33*Personnel!F$74)-('FTE Table'!B33*Salary_Cap),0),0)</f>
        <v>0</v>
      </c>
      <c r="U33" s="19">
        <f>IF(Personnel!$D$2="yes",IF(Personnel!$D33*Personnel!G$74&gt;Salary_Cap,(Personnel!$D33*'FTE Table'!C33*Personnel!G$74)-('FTE Table'!C33*Salary_Cap),0),0)</f>
        <v>0</v>
      </c>
      <c r="V33" s="19">
        <f>IF(Personnel!$D$2="yes",IF(Personnel!$D33*Personnel!H$74&gt;Salary_Cap,(Personnel!$D33*'FTE Table'!D33*Personnel!H$74)-('FTE Table'!D33*Salary_Cap),0),0)</f>
        <v>0</v>
      </c>
      <c r="W33" s="19">
        <f>IF(Personnel!$D$2="yes",IF(Personnel!$D33*Personnel!I$74&gt;Salary_Cap,(Personnel!$D33*'FTE Table'!E33*Personnel!I$74)-('FTE Table'!E33*Salary_Cap),0),0)</f>
        <v>0</v>
      </c>
      <c r="X33" s="19">
        <f>IF(Personnel!$D$2="yes",IF(Personnel!$D33*Personnel!J$74&gt;Salary_Cap,(Personnel!$D33*'FTE Table'!F33*Personnel!J$74)-('FTE Table'!F33*Salary_Cap),0),0)</f>
        <v>0</v>
      </c>
      <c r="Z33" s="19">
        <f>IF(T33&gt;0,IF(Personnel!$C33&lt;&gt;"Sum",(T33*0.22883)+('FTE Table'!B33*5659),(T33*0.22883)),0)</f>
        <v>0</v>
      </c>
      <c r="AA33" s="19">
        <f>IF(U33&gt;0,IF(Personnel!$C33&lt;&gt;"Sum",(U33*0.22883)+('FTE Table'!C33*5659),(U33*0.22883)),0)</f>
        <v>0</v>
      </c>
      <c r="AB33" s="19">
        <f>IF(V33&gt;0,IF(Personnel!$C33&lt;&gt;"Sum",(V33*0.22883)+('FTE Table'!D33*5659),(V33*0.22883)),0)</f>
        <v>0</v>
      </c>
      <c r="AC33" s="19">
        <f>IF(W33&gt;0,IF(Personnel!$C33&lt;&gt;"Sum",(W33*0.22883)+('FTE Table'!E33*5659),(W33*0.22883)),0)</f>
        <v>0</v>
      </c>
      <c r="AD33" s="19">
        <f>IF(X33&gt;0,IF(Personnel!$C33&lt;&gt;"Sum",(X33*0.22883)+('FTE Table'!F33*5659),(X33*0.22883)),0)</f>
        <v>0</v>
      </c>
    </row>
    <row r="34" spans="1:30" hidden="1" x14ac:dyDescent="0.3">
      <c r="A34" s="47">
        <f>Personnel!A34</f>
        <v>0</v>
      </c>
      <c r="B34" s="48">
        <f>IF(Personnel!$D$2="No",(Personnel!F34/12)*Personnel!$D34*Personnel!F$74,IF((Personnel!$D34*Personnel!F$74)&lt;Salary_Cap,(Personnel!F34/12)*Personnel!$D34*Personnel!F$74,(Personnel!F34/12)*Salary_Cap))</f>
        <v>0</v>
      </c>
      <c r="C34" s="48">
        <f>IF(Personnel!$D$2="No",(Personnel!G34/12)*Personnel!$D34*Personnel!G$74,IF((Personnel!$D34*Personnel!G$74)&lt;Salary_Cap,(Personnel!G34/12)*Personnel!$D34*Personnel!G$74,(Personnel!G34/12)*Salary_Cap))</f>
        <v>0</v>
      </c>
      <c r="D34" s="48">
        <f>IF(Personnel!$D$2="No",(Personnel!H34/12)*Personnel!$D34*Personnel!H$74,IF((Personnel!$D34*Personnel!H$74)&lt;Salary_Cap,(Personnel!H34/12)*Personnel!$D34*Personnel!H$74,(Personnel!H34/12)*Salary_Cap))</f>
        <v>0</v>
      </c>
      <c r="E34" s="48">
        <f>IF(Personnel!$D$2="No",(Personnel!I34/12)*Personnel!$D34*Personnel!I$74,IF((Personnel!$D34*Personnel!I$74)&lt;Salary_Cap,(Personnel!I34/12)*Personnel!$D34*Personnel!I$74,(Personnel!I34/12)*Salary_Cap))</f>
        <v>0</v>
      </c>
      <c r="F34" s="48">
        <f>IF(Personnel!$D$2="No",(Personnel!J34/12)*Personnel!$D34*Personnel!J$74,IF((Personnel!$D34*Personnel!J$74)&lt;Salary_Cap,(Personnel!J34/12)*Personnel!$D34*Personnel!J$74,(Personnel!J34/12)*Salary_Cap))</f>
        <v>0</v>
      </c>
      <c r="H34" s="48">
        <f>ROUND(IF(Personnel!$C34&lt;&gt;"Sum",B34*'Rate Table'!$E$3,'Labor Detail'!B34*'Rate Table'!$E$7),0)</f>
        <v>0</v>
      </c>
      <c r="I34" s="48">
        <f>ROUND(IF(Personnel!$C34&lt;&gt;"Sum",C34*'Rate Table'!$E$3,'Labor Detail'!C34*'Rate Table'!$E$7),0)</f>
        <v>0</v>
      </c>
      <c r="J34" s="48">
        <f>ROUND(IF(Personnel!$C34&lt;&gt;"Sum",D34*'Rate Table'!$E$3,'Labor Detail'!D34*'Rate Table'!$E$7),0)</f>
        <v>0</v>
      </c>
      <c r="K34" s="48">
        <f>ROUND(IF(Personnel!$C34&lt;&gt;"Sum",E34*'Rate Table'!$E$3,'Labor Detail'!E34*'Rate Table'!$E$7),0)</f>
        <v>0</v>
      </c>
      <c r="L34" s="48">
        <f>ROUND(IF(Personnel!$C34&lt;&gt;"Sum",F34*'Rate Table'!$E$3,'Labor Detail'!F34*'Rate Table'!$E$7),0)</f>
        <v>0</v>
      </c>
      <c r="M34" s="49"/>
      <c r="N34" s="48">
        <f>2080*'FTE Table'!B34</f>
        <v>0</v>
      </c>
      <c r="O34" s="48">
        <f>2080*'FTE Table'!C34</f>
        <v>0</v>
      </c>
      <c r="P34" s="48">
        <f>2080*'FTE Table'!D34</f>
        <v>0</v>
      </c>
      <c r="Q34" s="48">
        <f>2080*'FTE Table'!E34</f>
        <v>0</v>
      </c>
      <c r="R34" s="48">
        <f>2080*'FTE Table'!F34</f>
        <v>0</v>
      </c>
      <c r="T34" s="19">
        <f>IF(Personnel!$D$2="yes",IF(Personnel!$D34*Personnel!F$74&gt;Salary_Cap,(Personnel!$D34*'FTE Table'!B34*Personnel!F$74)-('FTE Table'!B34*Salary_Cap),0),0)</f>
        <v>0</v>
      </c>
      <c r="U34" s="19">
        <f>IF(Personnel!$D$2="yes",IF(Personnel!$D34*Personnel!G$74&gt;Salary_Cap,(Personnel!$D34*'FTE Table'!C34*Personnel!G$74)-('FTE Table'!C34*Salary_Cap),0),0)</f>
        <v>0</v>
      </c>
      <c r="V34" s="19">
        <f>IF(Personnel!$D$2="yes",IF(Personnel!$D34*Personnel!H$74&gt;Salary_Cap,(Personnel!$D34*'FTE Table'!D34*Personnel!H$74)-('FTE Table'!D34*Salary_Cap),0),0)</f>
        <v>0</v>
      </c>
      <c r="W34" s="19">
        <f>IF(Personnel!$D$2="yes",IF(Personnel!$D34*Personnel!I$74&gt;Salary_Cap,(Personnel!$D34*'FTE Table'!E34*Personnel!I$74)-('FTE Table'!E34*Salary_Cap),0),0)</f>
        <v>0</v>
      </c>
      <c r="X34" s="19">
        <f>IF(Personnel!$D$2="yes",IF(Personnel!$D34*Personnel!J$74&gt;Salary_Cap,(Personnel!$D34*'FTE Table'!F34*Personnel!J$74)-('FTE Table'!F34*Salary_Cap),0),0)</f>
        <v>0</v>
      </c>
      <c r="Z34" s="19">
        <f>IF(T34&gt;0,IF(Personnel!$C34&lt;&gt;"Sum",(T34*0.22883)+('FTE Table'!B34*5659),(T34*0.22883)),0)</f>
        <v>0</v>
      </c>
      <c r="AA34" s="19">
        <f>IF(U34&gt;0,IF(Personnel!$C34&lt;&gt;"Sum",(U34*0.22883)+('FTE Table'!C34*5659),(U34*0.22883)),0)</f>
        <v>0</v>
      </c>
      <c r="AB34" s="19">
        <f>IF(V34&gt;0,IF(Personnel!$C34&lt;&gt;"Sum",(V34*0.22883)+('FTE Table'!D34*5659),(V34*0.22883)),0)</f>
        <v>0</v>
      </c>
      <c r="AC34" s="19">
        <f>IF(W34&gt;0,IF(Personnel!$C34&lt;&gt;"Sum",(W34*0.22883)+('FTE Table'!E34*5659),(W34*0.22883)),0)</f>
        <v>0</v>
      </c>
      <c r="AD34" s="19">
        <f>IF(X34&gt;0,IF(Personnel!$C34&lt;&gt;"Sum",(X34*0.22883)+('FTE Table'!F34*5659),(X34*0.22883)),0)</f>
        <v>0</v>
      </c>
    </row>
    <row r="35" spans="1:30" hidden="1" x14ac:dyDescent="0.3">
      <c r="A35" s="47">
        <f>Personnel!A35</f>
        <v>0</v>
      </c>
      <c r="B35" s="48">
        <f>IF(Personnel!$D$2="No",(Personnel!F35/12)*Personnel!$D35*Personnel!F$74,IF((Personnel!$D35*Personnel!F$74)&lt;Salary_Cap,(Personnel!F35/12)*Personnel!$D35*Personnel!F$74,(Personnel!F35/12)*Salary_Cap))</f>
        <v>0</v>
      </c>
      <c r="C35" s="48">
        <f>IF(Personnel!$D$2="No",(Personnel!G35/12)*Personnel!$D35*Personnel!G$74,IF((Personnel!$D35*Personnel!G$74)&lt;Salary_Cap,(Personnel!G35/12)*Personnel!$D35*Personnel!G$74,(Personnel!G35/12)*Salary_Cap))</f>
        <v>0</v>
      </c>
      <c r="D35" s="48">
        <f>IF(Personnel!$D$2="No",(Personnel!H35/12)*Personnel!$D35*Personnel!H$74,IF((Personnel!$D35*Personnel!H$74)&lt;Salary_Cap,(Personnel!H35/12)*Personnel!$D35*Personnel!H$74,(Personnel!H35/12)*Salary_Cap))</f>
        <v>0</v>
      </c>
      <c r="E35" s="48">
        <f>IF(Personnel!$D$2="No",(Personnel!I35/12)*Personnel!$D35*Personnel!I$74,IF((Personnel!$D35*Personnel!I$74)&lt;Salary_Cap,(Personnel!I35/12)*Personnel!$D35*Personnel!I$74,(Personnel!I35/12)*Salary_Cap))</f>
        <v>0</v>
      </c>
      <c r="F35" s="48">
        <f>IF(Personnel!$D$2="No",(Personnel!J35/12)*Personnel!$D35*Personnel!J$74,IF((Personnel!$D35*Personnel!J$74)&lt;Salary_Cap,(Personnel!J35/12)*Personnel!$D35*Personnel!J$74,(Personnel!J35/12)*Salary_Cap))</f>
        <v>0</v>
      </c>
      <c r="H35" s="48">
        <f>ROUND(IF(Personnel!$C35&lt;&gt;"Sum",B35*'Rate Table'!$E$3,'Labor Detail'!B35*'Rate Table'!$E$7),0)</f>
        <v>0</v>
      </c>
      <c r="I35" s="48">
        <f>ROUND(IF(Personnel!$C35&lt;&gt;"Sum",C35*'Rate Table'!$E$3,'Labor Detail'!C35*'Rate Table'!$E$7),0)</f>
        <v>0</v>
      </c>
      <c r="J35" s="48">
        <f>ROUND(IF(Personnel!$C35&lt;&gt;"Sum",D35*'Rate Table'!$E$3,'Labor Detail'!D35*'Rate Table'!$E$7),0)</f>
        <v>0</v>
      </c>
      <c r="K35" s="48">
        <f>ROUND(IF(Personnel!$C35&lt;&gt;"Sum",E35*'Rate Table'!$E$3,'Labor Detail'!E35*'Rate Table'!$E$7),0)</f>
        <v>0</v>
      </c>
      <c r="L35" s="48">
        <f>ROUND(IF(Personnel!$C35&lt;&gt;"Sum",F35*'Rate Table'!$E$3,'Labor Detail'!F35*'Rate Table'!$E$7),0)</f>
        <v>0</v>
      </c>
      <c r="M35" s="49"/>
      <c r="N35" s="48">
        <f>2080*'FTE Table'!B35</f>
        <v>0</v>
      </c>
      <c r="O35" s="48">
        <f>2080*'FTE Table'!C35</f>
        <v>0</v>
      </c>
      <c r="P35" s="48">
        <f>2080*'FTE Table'!D35</f>
        <v>0</v>
      </c>
      <c r="Q35" s="48">
        <f>2080*'FTE Table'!E35</f>
        <v>0</v>
      </c>
      <c r="R35" s="48">
        <f>2080*'FTE Table'!F35</f>
        <v>0</v>
      </c>
      <c r="T35" s="19">
        <f>IF(Personnel!$D$2="yes",IF(Personnel!$D35*Personnel!F$74&gt;Salary_Cap,(Personnel!$D35*'FTE Table'!B35*Personnel!F$74)-('FTE Table'!B35*Salary_Cap),0),0)</f>
        <v>0</v>
      </c>
      <c r="U35" s="19">
        <f>IF(Personnel!$D$2="yes",IF(Personnel!$D35*Personnel!G$74&gt;Salary_Cap,(Personnel!$D35*'FTE Table'!C35*Personnel!G$74)-('FTE Table'!C35*Salary_Cap),0),0)</f>
        <v>0</v>
      </c>
      <c r="V35" s="19">
        <f>IF(Personnel!$D$2="yes",IF(Personnel!$D35*Personnel!H$74&gt;Salary_Cap,(Personnel!$D35*'FTE Table'!D35*Personnel!H$74)-('FTE Table'!D35*Salary_Cap),0),0)</f>
        <v>0</v>
      </c>
      <c r="W35" s="19">
        <f>IF(Personnel!$D$2="yes",IF(Personnel!$D35*Personnel!I$74&gt;Salary_Cap,(Personnel!$D35*'FTE Table'!E35*Personnel!I$74)-('FTE Table'!E35*Salary_Cap),0),0)</f>
        <v>0</v>
      </c>
      <c r="X35" s="19">
        <f>IF(Personnel!$D$2="yes",IF(Personnel!$D35*Personnel!J$74&gt;Salary_Cap,(Personnel!$D35*'FTE Table'!F35*Personnel!J$74)-('FTE Table'!F35*Salary_Cap),0),0)</f>
        <v>0</v>
      </c>
      <c r="Z35" s="19">
        <f>IF(T35&gt;0,IF(Personnel!$C35&lt;&gt;"Sum",(T35*0.22883)+('FTE Table'!B35*5659),(T35*0.22883)),0)</f>
        <v>0</v>
      </c>
      <c r="AA35" s="19">
        <f>IF(U35&gt;0,IF(Personnel!$C35&lt;&gt;"Sum",(U35*0.22883)+('FTE Table'!C35*5659),(U35*0.22883)),0)</f>
        <v>0</v>
      </c>
      <c r="AB35" s="19">
        <f>IF(V35&gt;0,IF(Personnel!$C35&lt;&gt;"Sum",(V35*0.22883)+('FTE Table'!D35*5659),(V35*0.22883)),0)</f>
        <v>0</v>
      </c>
      <c r="AC35" s="19">
        <f>IF(W35&gt;0,IF(Personnel!$C35&lt;&gt;"Sum",(W35*0.22883)+('FTE Table'!E35*5659),(W35*0.22883)),0)</f>
        <v>0</v>
      </c>
      <c r="AD35" s="19">
        <f>IF(X35&gt;0,IF(Personnel!$C35&lt;&gt;"Sum",(X35*0.22883)+('FTE Table'!F35*5659),(X35*0.22883)),0)</f>
        <v>0</v>
      </c>
    </row>
    <row r="36" spans="1:30" x14ac:dyDescent="0.3">
      <c r="A36" s="50" t="s">
        <v>152</v>
      </c>
      <c r="B36" s="51">
        <f>ROUND(SUM(B5:B35),0)</f>
        <v>0</v>
      </c>
      <c r="C36" s="51">
        <f>ROUND(SUM(C5:C35),0)</f>
        <v>0</v>
      </c>
      <c r="D36" s="51">
        <f>ROUND(SUM(D5:D35),0)</f>
        <v>0</v>
      </c>
      <c r="E36" s="51">
        <f>ROUND(SUM(E5:E35),0)</f>
        <v>0</v>
      </c>
      <c r="F36" s="51">
        <f>ROUND(SUM(F5:F35),0)</f>
        <v>0</v>
      </c>
      <c r="G36" s="51"/>
      <c r="H36" s="51">
        <f>ROUND(SUM(H5:H35),0)</f>
        <v>0</v>
      </c>
      <c r="I36" s="51">
        <f>ROUND(SUM(I5:I35),0)</f>
        <v>0</v>
      </c>
      <c r="J36" s="51">
        <f>ROUND(SUM(J5:J35),0)</f>
        <v>0</v>
      </c>
      <c r="K36" s="51">
        <f>ROUND(SUM(K5:K35),0)</f>
        <v>0</v>
      </c>
      <c r="L36" s="51">
        <f>ROUND(SUM(L5:L35),0)</f>
        <v>0</v>
      </c>
      <c r="M36" s="51"/>
      <c r="N36" s="51">
        <f t="shared" ref="N36:X36" si="0">SUM(N5:N35)</f>
        <v>0</v>
      </c>
      <c r="O36" s="51">
        <f t="shared" si="0"/>
        <v>0</v>
      </c>
      <c r="P36" s="51">
        <f t="shared" si="0"/>
        <v>0</v>
      </c>
      <c r="Q36" s="51">
        <f t="shared" si="0"/>
        <v>0</v>
      </c>
      <c r="R36" s="51">
        <f t="shared" si="0"/>
        <v>0</v>
      </c>
      <c r="S36" s="53">
        <f t="shared" si="0"/>
        <v>0</v>
      </c>
      <c r="T36" s="52">
        <f t="shared" si="0"/>
        <v>0</v>
      </c>
      <c r="U36" s="52">
        <f t="shared" si="0"/>
        <v>0</v>
      </c>
      <c r="V36" s="52">
        <f t="shared" si="0"/>
        <v>0</v>
      </c>
      <c r="W36" s="52">
        <f t="shared" si="0"/>
        <v>0</v>
      </c>
      <c r="X36" s="52">
        <f t="shared" si="0"/>
        <v>0</v>
      </c>
      <c r="Z36" s="52">
        <f>SUM(Z5:Z35)</f>
        <v>0</v>
      </c>
      <c r="AA36" s="52">
        <f>SUM(AA5:AA35)</f>
        <v>0</v>
      </c>
      <c r="AB36" s="52">
        <f>SUM(AB5:AB35)</f>
        <v>0</v>
      </c>
      <c r="AC36" s="52">
        <f>SUM(AC5:AC35)</f>
        <v>0</v>
      </c>
      <c r="AD36" s="52">
        <f>SUM(AD5:AD35)</f>
        <v>0</v>
      </c>
    </row>
    <row r="37" spans="1:30" ht="15.6" customHeight="1" x14ac:dyDescent="0.3">
      <c r="A37" s="54"/>
      <c r="B37" s="411" t="s">
        <v>53</v>
      </c>
      <c r="C37" s="397"/>
      <c r="D37" s="397"/>
      <c r="E37" s="397"/>
      <c r="F37" s="397"/>
      <c r="G37" s="397"/>
      <c r="H37" s="397"/>
      <c r="I37" s="397"/>
      <c r="J37" s="397"/>
      <c r="K37" s="397"/>
      <c r="L37" s="397"/>
      <c r="M37" s="397"/>
      <c r="N37" s="397"/>
      <c r="O37" s="397"/>
      <c r="P37" s="397"/>
      <c r="Q37" s="397"/>
      <c r="R37" s="397"/>
      <c r="S37" s="132"/>
      <c r="T37" s="61"/>
      <c r="U37" s="61"/>
      <c r="V37" s="61"/>
      <c r="W37" s="61"/>
      <c r="X37" s="61"/>
      <c r="Z37" s="61"/>
      <c r="AA37" s="61"/>
      <c r="AB37" s="61"/>
      <c r="AC37" s="61"/>
      <c r="AD37" s="61"/>
    </row>
    <row r="38" spans="1:30" x14ac:dyDescent="0.3">
      <c r="A38" s="294">
        <f>IF(Personnel!C38="Cost Share","",Personnel!A38)</f>
        <v>0</v>
      </c>
      <c r="B38" s="48">
        <f>ROUND(IF(Personnel!$C38="Cost Share",0,IF(Personnel!$D$2="No",(Personnel!F38/12)*Personnel!$D38*Personnel!F$74,IF((Personnel!$D38*Personnel!F$74)&lt;Salary_Cap,(Personnel!F38/12)*Personnel!$D38*Personnel!F$74,(Personnel!F38/12)*Salary_Cap))),0)</f>
        <v>0</v>
      </c>
      <c r="C38" s="48">
        <f>ROUND(IF(Personnel!$C38="Cost Share",0,IF(Personnel!$D$2="No",(Personnel!G38/12)*Personnel!$D38*Personnel!G$74,IF((Personnel!$D38*Personnel!G$74)&lt;Salary_Cap,(Personnel!G38/12)*Personnel!$D38*Personnel!G$74,(Personnel!G38/12)*Salary_Cap))),0)</f>
        <v>0</v>
      </c>
      <c r="D38" s="48">
        <f>ROUND(IF(Personnel!$C38="Cost Share",0,IF(Personnel!$D$2="No",(Personnel!H38/12)*Personnel!$D38*Personnel!H$74,IF((Personnel!$D38*Personnel!H$74)&lt;Salary_Cap,(Personnel!H38/12)*Personnel!$D38*Personnel!H$74,(Personnel!H38/12)*Salary_Cap))),0)</f>
        <v>0</v>
      </c>
      <c r="E38" s="48">
        <f>ROUND(IF(Personnel!$C38="Cost Share",0,IF(Personnel!$D$2="No",(Personnel!I38/12)*Personnel!$D38*Personnel!I$74,IF((Personnel!$D38*Personnel!I$74)&lt;Salary_Cap,(Personnel!I38/12)*Personnel!$D38*Personnel!I$74,(Personnel!I38/12)*Salary_Cap))),0)</f>
        <v>0</v>
      </c>
      <c r="F38" s="48">
        <f>ROUND(IF(Personnel!$C38="Cost Share",0,IF(Personnel!$D$2="No",(Personnel!J38/12)*Personnel!$D38*Personnel!J$74,IF((Personnel!$D38*Personnel!J$74)&lt;Salary_Cap,(Personnel!J38/12)*Personnel!$D38*Personnel!J$74,(Personnel!J38/12)*Salary_Cap))),0)</f>
        <v>0</v>
      </c>
      <c r="H38" s="48">
        <f>ROUND(B38*'Rate Table'!$E$3,0)</f>
        <v>0</v>
      </c>
      <c r="I38" s="48">
        <f>ROUND(C38*'Rate Table'!$E$3,0)</f>
        <v>0</v>
      </c>
      <c r="J38" s="48">
        <f>ROUND(D38*'Rate Table'!$E$3,0)</f>
        <v>0</v>
      </c>
      <c r="K38" s="48">
        <f>ROUND(E38*'Rate Table'!$E$3,0)</f>
        <v>0</v>
      </c>
      <c r="L38" s="48">
        <f>ROUND(F38*'Rate Table'!$E$3,0)</f>
        <v>0</v>
      </c>
      <c r="M38" s="49"/>
      <c r="N38" s="48">
        <f>IF(Personnel!$C38="Cost Share",0,2080*'FTE Table'!B38)</f>
        <v>0</v>
      </c>
      <c r="O38" s="48">
        <f>IF(Personnel!$C38="Cost Share",0,2080*'FTE Table'!C38)</f>
        <v>0</v>
      </c>
      <c r="P38" s="48">
        <f>IF(Personnel!$C38="Cost Share",0,2080*'FTE Table'!D38)</f>
        <v>0</v>
      </c>
      <c r="Q38" s="48">
        <f>IF(Personnel!$C38="Cost Share",0,2080*'FTE Table'!E38)</f>
        <v>0</v>
      </c>
      <c r="R38" s="48">
        <f>IF(Personnel!$C38="Cost Share",0,2080*'FTE Table'!F38)</f>
        <v>0</v>
      </c>
      <c r="T38" s="19">
        <f>IF(Personnel!$D$2="yes",IF(Personnel!$D38*Personnel!F$74&gt;Salary_Cap,(Personnel!$D38*'FTE Table'!B38*Personnel!F$74)-('FTE Table'!B38*Salary_Cap),0),0)</f>
        <v>0</v>
      </c>
      <c r="U38" s="19">
        <f>IF(Personnel!$D$2="yes",IF(Personnel!$D38*Personnel!G$74&gt;Salary_Cap,(Personnel!$D38*'FTE Table'!C38*Personnel!G$74)-('FTE Table'!C38*Salary_Cap),0),0)</f>
        <v>0</v>
      </c>
      <c r="V38" s="19">
        <f>IF(Personnel!$D$2="yes",IF(Personnel!$D38*Personnel!H$74&gt;Salary_Cap,(Personnel!$D38*'FTE Table'!D38*Personnel!H$74)-('FTE Table'!D38*Salary_Cap),0),0)</f>
        <v>0</v>
      </c>
      <c r="W38" s="19">
        <f>IF(Personnel!$D$2="yes",IF(Personnel!$D38*Personnel!I$74&gt;Salary_Cap,(Personnel!$D38*'FTE Table'!E38*Personnel!I$74)-('FTE Table'!E38*Salary_Cap),0),0)</f>
        <v>0</v>
      </c>
      <c r="X38" s="19">
        <f>IF(Personnel!$D$2="yes",IF(Personnel!$D38*Personnel!J$74&gt;Salary_Cap,(Personnel!$D38*'FTE Table'!F38*Personnel!J$74)-('FTE Table'!F38*Salary_Cap),0),0)</f>
        <v>0</v>
      </c>
      <c r="Z38" s="19">
        <f>IF(T38&gt;0,IF(Personnel!$C38&lt;&gt;"Sum",(T38*0.22883)+('FTE Table'!B38*5659),(T38*0.22883)),0)</f>
        <v>0</v>
      </c>
      <c r="AA38" s="19">
        <f>IF(U38&gt;0,IF(Personnel!$C38&lt;&gt;"Sum",(U38*0.22883)+('FTE Table'!C38*5659),(U38*0.22883)),0)</f>
        <v>0</v>
      </c>
      <c r="AB38" s="19">
        <f>IF(V38&gt;0,IF(Personnel!$C38&lt;&gt;"Sum",(V38*0.22883)+('FTE Table'!D38*5659),(V38*0.22883)),0)</f>
        <v>0</v>
      </c>
      <c r="AC38" s="19">
        <f>IF(W38&gt;0,IF(Personnel!$C38&lt;&gt;"Sum",(W38*0.22883)+('FTE Table'!E38*5659),(W38*0.22883)),0)</f>
        <v>0</v>
      </c>
      <c r="AD38" s="19">
        <f>IF(X38&gt;0,IF(Personnel!$C38&lt;&gt;"Sum",(X38*0.22883)+('FTE Table'!F38*5659),(X38*0.22883)),0)</f>
        <v>0</v>
      </c>
    </row>
    <row r="39" spans="1:30" x14ac:dyDescent="0.3">
      <c r="A39" s="294">
        <f>IF(Personnel!C39="Cost Share","",Personnel!A39)</f>
        <v>0</v>
      </c>
      <c r="B39" s="48">
        <f>ROUND(IF(Personnel!$C39="Cost Share",0,IF(Personnel!$D$2="No",(Personnel!F39/12)*Personnel!$D39*Personnel!F$74,IF((Personnel!$D39*Personnel!F$74)&lt;Salary_Cap,(Personnel!F39/12)*Personnel!$D39*Personnel!F$74,(Personnel!F39/12)*Salary_Cap))),0)</f>
        <v>0</v>
      </c>
      <c r="C39" s="48">
        <f>ROUND(IF(Personnel!$C39="Cost Share",0,IF(Personnel!$D$2="No",(Personnel!G39/12)*Personnel!$D39*Personnel!G$74,IF((Personnel!$D39*Personnel!G$74)&lt;Salary_Cap,(Personnel!G39/12)*Personnel!$D39*Personnel!G$74,(Personnel!G39/12)*Salary_Cap))),0)</f>
        <v>0</v>
      </c>
      <c r="D39" s="48">
        <f>ROUND(IF(Personnel!$C39="Cost Share",0,IF(Personnel!$D$2="No",(Personnel!H39/12)*Personnel!$D39*Personnel!H$74,IF((Personnel!$D39*Personnel!H$74)&lt;Salary_Cap,(Personnel!H39/12)*Personnel!$D39*Personnel!H$74,(Personnel!H39/12)*Salary_Cap))),0)</f>
        <v>0</v>
      </c>
      <c r="E39" s="48">
        <f>ROUND(IF(Personnel!$C39="Cost Share",0,IF(Personnel!$D$2="No",(Personnel!I39/12)*Personnel!$D39*Personnel!I$74,IF((Personnel!$D39*Personnel!I$74)&lt;Salary_Cap,(Personnel!I39/12)*Personnel!$D39*Personnel!I$74,(Personnel!I39/12)*Salary_Cap))),0)</f>
        <v>0</v>
      </c>
      <c r="F39" s="48">
        <f>ROUND(IF(Personnel!$C39="Cost Share",0,IF(Personnel!$D$2="No",(Personnel!J39/12)*Personnel!$D39*Personnel!J$74,IF((Personnel!$D39*Personnel!J$74)&lt;Salary_Cap,(Personnel!J39/12)*Personnel!$D39*Personnel!J$74,(Personnel!J39/12)*Salary_Cap))),0)</f>
        <v>0</v>
      </c>
      <c r="H39" s="48">
        <f>ROUND(B39*'Rate Table'!$E$3,0)</f>
        <v>0</v>
      </c>
      <c r="I39" s="48">
        <f>ROUND(C39*'Rate Table'!$E$3,0)</f>
        <v>0</v>
      </c>
      <c r="J39" s="48">
        <f>ROUND(D39*'Rate Table'!$E$3,0)</f>
        <v>0</v>
      </c>
      <c r="K39" s="48">
        <f>ROUND(E39*'Rate Table'!$E$3,0)</f>
        <v>0</v>
      </c>
      <c r="L39" s="48">
        <f>ROUND(F39*'Rate Table'!$E$3,0)</f>
        <v>0</v>
      </c>
      <c r="M39" s="49"/>
      <c r="N39" s="48">
        <f>IF(Personnel!$C39="Cost Share",0,2080*'FTE Table'!B39)</f>
        <v>0</v>
      </c>
      <c r="O39" s="48">
        <f>IF(Personnel!$C39="Cost Share",0,2080*'FTE Table'!C39)</f>
        <v>0</v>
      </c>
      <c r="P39" s="48">
        <f>IF(Personnel!$C39="Cost Share",0,2080*'FTE Table'!D39)</f>
        <v>0</v>
      </c>
      <c r="Q39" s="48">
        <f>IF(Personnel!$C39="Cost Share",0,2080*'FTE Table'!E39)</f>
        <v>0</v>
      </c>
      <c r="R39" s="48">
        <f>IF(Personnel!$C39="Cost Share",0,2080*'FTE Table'!F39)</f>
        <v>0</v>
      </c>
      <c r="T39" s="19">
        <f>IF(Personnel!$D$2="yes",IF(Personnel!$D39*Personnel!F$74&gt;Salary_Cap,(Personnel!$D39*'FTE Table'!B39*Personnel!F$74)-('FTE Table'!B39*Salary_Cap),0),0)</f>
        <v>0</v>
      </c>
      <c r="U39" s="19">
        <f>IF(Personnel!$D$2="yes",IF(Personnel!$D39*Personnel!G$74&gt;Salary_Cap,(Personnel!$D39*'FTE Table'!C39*Personnel!G$74)-('FTE Table'!C39*Salary_Cap),0),0)</f>
        <v>0</v>
      </c>
      <c r="V39" s="19">
        <f>IF(Personnel!$D$2="yes",IF(Personnel!$D39*Personnel!H$74&gt;Salary_Cap,(Personnel!$D39*'FTE Table'!D39*Personnel!H$74)-('FTE Table'!D39*Salary_Cap),0),0)</f>
        <v>0</v>
      </c>
      <c r="W39" s="19">
        <f>IF(Personnel!$D$2="yes",IF(Personnel!$D39*Personnel!I$74&gt;Salary_Cap,(Personnel!$D39*'FTE Table'!E39*Personnel!I$74)-('FTE Table'!E39*Salary_Cap),0),0)</f>
        <v>0</v>
      </c>
      <c r="X39" s="19">
        <f>IF(Personnel!$D$2="yes",IF(Personnel!$D39*Personnel!J$74&gt;Salary_Cap,(Personnel!$D39*'FTE Table'!F39*Personnel!J$74)-('FTE Table'!F39*Salary_Cap),0),0)</f>
        <v>0</v>
      </c>
      <c r="Z39" s="19">
        <f>IF(T39&gt;0,IF(Personnel!$C39&lt;&gt;"Sum",(T39*0.22883)+('FTE Table'!B39*5659),(T39*0.22883)),0)</f>
        <v>0</v>
      </c>
      <c r="AA39" s="19">
        <f>IF(U39&gt;0,IF(Personnel!$C39&lt;&gt;"Sum",(U39*0.22883)+('FTE Table'!C39*5659),(U39*0.22883)),0)</f>
        <v>0</v>
      </c>
      <c r="AB39" s="19">
        <f>IF(V39&gt;0,IF(Personnel!$C39&lt;&gt;"Sum",(V39*0.22883)+('FTE Table'!D39*5659),(V39*0.22883)),0)</f>
        <v>0</v>
      </c>
      <c r="AC39" s="19">
        <f>IF(W39&gt;0,IF(Personnel!$C39&lt;&gt;"Sum",(W39*0.22883)+('FTE Table'!E39*5659),(W39*0.22883)),0)</f>
        <v>0</v>
      </c>
      <c r="AD39" s="19">
        <f>IF(X39&gt;0,IF(Personnel!$C39&lt;&gt;"Sum",(X39*0.22883)+('FTE Table'!F39*5659),(X39*0.22883)),0)</f>
        <v>0</v>
      </c>
    </row>
    <row r="40" spans="1:30" x14ac:dyDescent="0.3">
      <c r="A40" s="294">
        <f>IF(Personnel!C40="Cost Share","",Personnel!A40)</f>
        <v>0</v>
      </c>
      <c r="B40" s="48">
        <f>ROUND(IF(Personnel!$C40="Cost Share",0,IF(Personnel!$D$2="No",(Personnel!F40/12)*Personnel!$D40*Personnel!F$74,IF((Personnel!$D40*Personnel!F$74)&lt;Salary_Cap,(Personnel!F40/12)*Personnel!$D40*Personnel!F$74,(Personnel!F40/12)*Salary_Cap))),0)</f>
        <v>0</v>
      </c>
      <c r="C40" s="48">
        <f>ROUND(IF(Personnel!$C40="Cost Share",0,IF(Personnel!$D$2="No",(Personnel!G40/12)*Personnel!$D40*Personnel!G$74,IF((Personnel!$D40*Personnel!G$74)&lt;Salary_Cap,(Personnel!G40/12)*Personnel!$D40*Personnel!G$74,(Personnel!G40/12)*Salary_Cap))),0)</f>
        <v>0</v>
      </c>
      <c r="D40" s="48">
        <f>ROUND(IF(Personnel!$C40="Cost Share",0,IF(Personnel!$D$2="No",(Personnel!H40/12)*Personnel!$D40*Personnel!H$74,IF((Personnel!$D40*Personnel!H$74)&lt;Salary_Cap,(Personnel!H40/12)*Personnel!$D40*Personnel!H$74,(Personnel!H40/12)*Salary_Cap))),0)</f>
        <v>0</v>
      </c>
      <c r="E40" s="48">
        <f>ROUND(IF(Personnel!$C40="Cost Share",0,IF(Personnel!$D$2="No",(Personnel!I40/12)*Personnel!$D40*Personnel!I$74,IF((Personnel!$D40*Personnel!I$74)&lt;Salary_Cap,(Personnel!I40/12)*Personnel!$D40*Personnel!I$74,(Personnel!I40/12)*Salary_Cap))),0)</f>
        <v>0</v>
      </c>
      <c r="F40" s="48">
        <f>ROUND(IF(Personnel!$C40="Cost Share",0,IF(Personnel!$D$2="No",(Personnel!J40/12)*Personnel!$D40*Personnel!J$74,IF((Personnel!$D40*Personnel!J$74)&lt;Salary_Cap,(Personnel!J40/12)*Personnel!$D40*Personnel!J$74,(Personnel!J40/12)*Salary_Cap))),0)</f>
        <v>0</v>
      </c>
      <c r="H40" s="48">
        <f>ROUND(B40*'Rate Table'!$E$3,0)</f>
        <v>0</v>
      </c>
      <c r="I40" s="48">
        <f>ROUND(C40*'Rate Table'!$E$3,0)</f>
        <v>0</v>
      </c>
      <c r="J40" s="48">
        <f>ROUND(D40*'Rate Table'!$E$3,0)</f>
        <v>0</v>
      </c>
      <c r="K40" s="48">
        <f>ROUND(E40*'Rate Table'!$E$3,0)</f>
        <v>0</v>
      </c>
      <c r="L40" s="48">
        <f>ROUND(F40*'Rate Table'!$E$3,0)</f>
        <v>0</v>
      </c>
      <c r="M40" s="49"/>
      <c r="N40" s="48">
        <f>IF(Personnel!$C40="Cost Share",0,2080*'FTE Table'!B40)</f>
        <v>0</v>
      </c>
      <c r="O40" s="48">
        <f>IF(Personnel!$C40="Cost Share",0,2080*'FTE Table'!C40)</f>
        <v>0</v>
      </c>
      <c r="P40" s="48">
        <f>IF(Personnel!$C40="Cost Share",0,2080*'FTE Table'!D40)</f>
        <v>0</v>
      </c>
      <c r="Q40" s="48">
        <f>IF(Personnel!$C40="Cost Share",0,2080*'FTE Table'!E40)</f>
        <v>0</v>
      </c>
      <c r="R40" s="48">
        <f>IF(Personnel!$C40="Cost Share",0,2080*'FTE Table'!F40)</f>
        <v>0</v>
      </c>
      <c r="T40" s="19">
        <f>IF(Personnel!$D$2="yes",IF(Personnel!$D40*Personnel!F$74&gt;Salary_Cap,(Personnel!$D40*'FTE Table'!B40*Personnel!F$74)-('FTE Table'!B40*Salary_Cap),0),0)</f>
        <v>0</v>
      </c>
      <c r="U40" s="19">
        <f>IF(Personnel!$D$2="yes",IF(Personnel!$D40*Personnel!G$74&gt;Salary_Cap,(Personnel!$D40*'FTE Table'!C40*Personnel!G$74)-('FTE Table'!C40*Salary_Cap),0),0)</f>
        <v>0</v>
      </c>
      <c r="V40" s="19">
        <f>IF(Personnel!$D$2="yes",IF(Personnel!$D40*Personnel!H$74&gt;Salary_Cap,(Personnel!$D40*'FTE Table'!D40*Personnel!H$74)-('FTE Table'!D40*Salary_Cap),0),0)</f>
        <v>0</v>
      </c>
      <c r="W40" s="19">
        <f>IF(Personnel!$D$2="yes",IF(Personnel!$D40*Personnel!I$74&gt;Salary_Cap,(Personnel!$D40*'FTE Table'!E40*Personnel!I$74)-('FTE Table'!E40*Salary_Cap),0),0)</f>
        <v>0</v>
      </c>
      <c r="X40" s="19">
        <f>IF(Personnel!$D$2="yes",IF(Personnel!$D40*Personnel!J$74&gt;Salary_Cap,(Personnel!$D40*'FTE Table'!F40*Personnel!J$74)-('FTE Table'!F40*Salary_Cap),0),0)</f>
        <v>0</v>
      </c>
      <c r="Z40" s="19">
        <f>IF(T40&gt;0,IF(Personnel!$C40&lt;&gt;"Sum",(T40*0.22883)+('FTE Table'!B40*5659),(T40*0.22883)),0)</f>
        <v>0</v>
      </c>
      <c r="AA40" s="19">
        <f>IF(U40&gt;0,IF(Personnel!$C40&lt;&gt;"Sum",(U40*0.22883)+('FTE Table'!C40*5659),(U40*0.22883)),0)</f>
        <v>0</v>
      </c>
      <c r="AB40" s="19">
        <f>IF(V40&gt;0,IF(Personnel!$C40&lt;&gt;"Sum",(V40*0.22883)+('FTE Table'!D40*5659),(V40*0.22883)),0)</f>
        <v>0</v>
      </c>
      <c r="AC40" s="19">
        <f>IF(W40&gt;0,IF(Personnel!$C40&lt;&gt;"Sum",(W40*0.22883)+('FTE Table'!E40*5659),(W40*0.22883)),0)</f>
        <v>0</v>
      </c>
      <c r="AD40" s="19">
        <f>IF(X40&gt;0,IF(Personnel!$C40&lt;&gt;"Sum",(X40*0.22883)+('FTE Table'!F40*5659),(X40*0.22883)),0)</f>
        <v>0</v>
      </c>
    </row>
    <row r="41" spans="1:30" x14ac:dyDescent="0.3">
      <c r="A41" s="294">
        <f>IF(Personnel!C41="Cost Share","",Personnel!A41)</f>
        <v>0</v>
      </c>
      <c r="B41" s="48">
        <f>ROUND(IF(Personnel!$C41="Cost Share",0,IF(Personnel!$D$2="No",(Personnel!F41/12)*Personnel!$D41*Personnel!F$74,IF((Personnel!$D41*Personnel!F$74)&lt;Salary_Cap,(Personnel!F41/12)*Personnel!$D41*Personnel!F$74,(Personnel!F41/12)*Salary_Cap))),0)</f>
        <v>0</v>
      </c>
      <c r="C41" s="48">
        <f>ROUND(IF(Personnel!$C41="Cost Share",0,IF(Personnel!$D$2="No",(Personnel!G41/12)*Personnel!$D41*Personnel!G$74,IF((Personnel!$D41*Personnel!G$74)&lt;Salary_Cap,(Personnel!G41/12)*Personnel!$D41*Personnel!G$74,(Personnel!G41/12)*Salary_Cap))),0)</f>
        <v>0</v>
      </c>
      <c r="D41" s="48">
        <f>ROUND(IF(Personnel!$C41="Cost Share",0,IF(Personnel!$D$2="No",(Personnel!H41/12)*Personnel!$D41*Personnel!H$74,IF((Personnel!$D41*Personnel!H$74)&lt;Salary_Cap,(Personnel!H41/12)*Personnel!$D41*Personnel!H$74,(Personnel!H41/12)*Salary_Cap))),0)</f>
        <v>0</v>
      </c>
      <c r="E41" s="48">
        <f>ROUND(IF(Personnel!$C41="Cost Share",0,IF(Personnel!$D$2="No",(Personnel!I41/12)*Personnel!$D41*Personnel!I$74,IF((Personnel!$D41*Personnel!I$74)&lt;Salary_Cap,(Personnel!I41/12)*Personnel!$D41*Personnel!I$74,(Personnel!I41/12)*Salary_Cap))),0)</f>
        <v>0</v>
      </c>
      <c r="F41" s="48">
        <f>ROUND(IF(Personnel!$C41="Cost Share",0,IF(Personnel!$D$2="No",(Personnel!J41/12)*Personnel!$D41*Personnel!J$74,IF((Personnel!$D41*Personnel!J$74)&lt;Salary_Cap,(Personnel!J41/12)*Personnel!$D41*Personnel!J$74,(Personnel!J41/12)*Salary_Cap))),0)</f>
        <v>0</v>
      </c>
      <c r="H41" s="48">
        <f>ROUND(B41*'Rate Table'!$E$3,0)</f>
        <v>0</v>
      </c>
      <c r="I41" s="48">
        <f>ROUND(C41*'Rate Table'!$E$3,0)</f>
        <v>0</v>
      </c>
      <c r="J41" s="48">
        <f>ROUND(D41*'Rate Table'!$E$3,0)</f>
        <v>0</v>
      </c>
      <c r="K41" s="48">
        <f>ROUND(E41*'Rate Table'!$E$3,0)</f>
        <v>0</v>
      </c>
      <c r="L41" s="48">
        <f>ROUND(F41*'Rate Table'!$E$3,0)</f>
        <v>0</v>
      </c>
      <c r="M41" s="49"/>
      <c r="N41" s="48">
        <f>IF(Personnel!$C41="Cost Share",0,2080*'FTE Table'!B41)</f>
        <v>0</v>
      </c>
      <c r="O41" s="48">
        <f>IF(Personnel!$C41="Cost Share",0,2080*'FTE Table'!C41)</f>
        <v>0</v>
      </c>
      <c r="P41" s="48">
        <f>IF(Personnel!$C41="Cost Share",0,2080*'FTE Table'!D41)</f>
        <v>0</v>
      </c>
      <c r="Q41" s="48">
        <f>IF(Personnel!$C41="Cost Share",0,2080*'FTE Table'!E41)</f>
        <v>0</v>
      </c>
      <c r="R41" s="48">
        <f>IF(Personnel!$C41="Cost Share",0,2080*'FTE Table'!F41)</f>
        <v>0</v>
      </c>
      <c r="T41" s="19">
        <f>IF(Personnel!$D$2="yes",IF(Personnel!$D41*Personnel!F$74&gt;Salary_Cap,(Personnel!$D41*'FTE Table'!B41*Personnel!F$74)-('FTE Table'!B41*Salary_Cap),0),0)</f>
        <v>0</v>
      </c>
      <c r="U41" s="19">
        <f>IF(Personnel!$D$2="yes",IF(Personnel!$D41*Personnel!G$74&gt;Salary_Cap,(Personnel!$D41*'FTE Table'!C41*Personnel!G$74)-('FTE Table'!C41*Salary_Cap),0),0)</f>
        <v>0</v>
      </c>
      <c r="V41" s="19">
        <f>IF(Personnel!$D$2="yes",IF(Personnel!$D41*Personnel!H$74&gt;Salary_Cap,(Personnel!$D41*'FTE Table'!D41*Personnel!H$74)-('FTE Table'!D41*Salary_Cap),0),0)</f>
        <v>0</v>
      </c>
      <c r="W41" s="19">
        <f>IF(Personnel!$D$2="yes",IF(Personnel!$D41*Personnel!I$74&gt;Salary_Cap,(Personnel!$D41*'FTE Table'!E41*Personnel!I$74)-('FTE Table'!E41*Salary_Cap),0),0)</f>
        <v>0</v>
      </c>
      <c r="X41" s="19">
        <f>IF(Personnel!$D$2="yes",IF(Personnel!$D41*Personnel!J$74&gt;Salary_Cap,(Personnel!$D41*'FTE Table'!F41*Personnel!J$74)-('FTE Table'!F41*Salary_Cap),0),0)</f>
        <v>0</v>
      </c>
      <c r="Z41" s="19">
        <f>IF(T41&gt;0,IF(Personnel!$C41&lt;&gt;"Sum",(T41*0.22883)+('FTE Table'!B41*5659),(T41*0.22883)),0)</f>
        <v>0</v>
      </c>
      <c r="AA41" s="19">
        <f>IF(U41&gt;0,IF(Personnel!$C41&lt;&gt;"Sum",(U41*0.22883)+('FTE Table'!C41*5659),(U41*0.22883)),0)</f>
        <v>0</v>
      </c>
      <c r="AB41" s="19">
        <f>IF(V41&gt;0,IF(Personnel!$C41&lt;&gt;"Sum",(V41*0.22883)+('FTE Table'!D41*5659),(V41*0.22883)),0)</f>
        <v>0</v>
      </c>
      <c r="AC41" s="19">
        <f>IF(W41&gt;0,IF(Personnel!$C41&lt;&gt;"Sum",(W41*0.22883)+('FTE Table'!E41*5659),(W41*0.22883)),0)</f>
        <v>0</v>
      </c>
      <c r="AD41" s="19">
        <f>IF(X41&gt;0,IF(Personnel!$C41&lt;&gt;"Sum",(X41*0.22883)+('FTE Table'!F41*5659),(X41*0.22883)),0)</f>
        <v>0</v>
      </c>
    </row>
    <row r="42" spans="1:30" x14ac:dyDescent="0.3">
      <c r="A42" s="294">
        <f>IF(Personnel!C42="Cost Share","",Personnel!A42)</f>
        <v>0</v>
      </c>
      <c r="B42" s="48">
        <f>ROUND(IF(Personnel!$C42="Cost Share",0,IF(Personnel!$D$2="No",(Personnel!F42/12)*Personnel!$D42*Personnel!F$74,IF((Personnel!$D42*Personnel!F$74)&lt;Salary_Cap,(Personnel!F42/12)*Personnel!$D42*Personnel!F$74,(Personnel!F42/12)*Salary_Cap))),0)</f>
        <v>0</v>
      </c>
      <c r="C42" s="48">
        <f>ROUND(IF(Personnel!$C42="Cost Share",0,IF(Personnel!$D$2="No",(Personnel!G42/12)*Personnel!$D42*Personnel!G$74,IF((Personnel!$D42*Personnel!G$74)&lt;Salary_Cap,(Personnel!G42/12)*Personnel!$D42*Personnel!G$74,(Personnel!G42/12)*Salary_Cap))),0)</f>
        <v>0</v>
      </c>
      <c r="D42" s="48">
        <f>ROUND(IF(Personnel!$C42="Cost Share",0,IF(Personnel!$D$2="No",(Personnel!H42/12)*Personnel!$D42*Personnel!H$74,IF((Personnel!$D42*Personnel!H$74)&lt;Salary_Cap,(Personnel!H42/12)*Personnel!$D42*Personnel!H$74,(Personnel!H42/12)*Salary_Cap))),0)</f>
        <v>0</v>
      </c>
      <c r="E42" s="48">
        <f>ROUND(IF(Personnel!$C42="Cost Share",0,IF(Personnel!$D$2="No",(Personnel!I42/12)*Personnel!$D42*Personnel!I$74,IF((Personnel!$D42*Personnel!I$74)&lt;Salary_Cap,(Personnel!I42/12)*Personnel!$D42*Personnel!I$74,(Personnel!I42/12)*Salary_Cap))),0)</f>
        <v>0</v>
      </c>
      <c r="F42" s="48">
        <f>ROUND(IF(Personnel!$C42="Cost Share",0,IF(Personnel!$D$2="No",(Personnel!J42/12)*Personnel!$D42*Personnel!J$74,IF((Personnel!$D42*Personnel!J$74)&lt;Salary_Cap,(Personnel!J42/12)*Personnel!$D42*Personnel!J$74,(Personnel!J42/12)*Salary_Cap))),0)</f>
        <v>0</v>
      </c>
      <c r="H42" s="48">
        <f>ROUND(B42*'Rate Table'!$E$3,0)</f>
        <v>0</v>
      </c>
      <c r="I42" s="48">
        <f>ROUND(C42*'Rate Table'!$E$3,0)</f>
        <v>0</v>
      </c>
      <c r="J42" s="48">
        <f>ROUND(D42*'Rate Table'!$E$3,0)</f>
        <v>0</v>
      </c>
      <c r="K42" s="48">
        <f>ROUND(E42*'Rate Table'!$E$3,0)</f>
        <v>0</v>
      </c>
      <c r="L42" s="48">
        <f>ROUND(F42*'Rate Table'!$E$3,0)</f>
        <v>0</v>
      </c>
      <c r="M42" s="49"/>
      <c r="N42" s="48">
        <f>IF(Personnel!$C42="Cost Share",0,2080*'FTE Table'!B42)</f>
        <v>0</v>
      </c>
      <c r="O42" s="48">
        <f>IF(Personnel!$C42="Cost Share",0,2080*'FTE Table'!C42)</f>
        <v>0</v>
      </c>
      <c r="P42" s="48">
        <f>IF(Personnel!$C42="Cost Share",0,2080*'FTE Table'!D42)</f>
        <v>0</v>
      </c>
      <c r="Q42" s="48">
        <f>IF(Personnel!$C42="Cost Share",0,2080*'FTE Table'!E42)</f>
        <v>0</v>
      </c>
      <c r="R42" s="48">
        <f>IF(Personnel!$C42="Cost Share",0,2080*'FTE Table'!F42)</f>
        <v>0</v>
      </c>
      <c r="T42" s="19">
        <f>IF(Personnel!$D$2="yes",IF(Personnel!$D42*Personnel!F$74&gt;Salary_Cap,(Personnel!$D42*'FTE Table'!B42*Personnel!F$74)-('FTE Table'!B42*Salary_Cap),0),0)</f>
        <v>0</v>
      </c>
      <c r="U42" s="19">
        <f>IF(Personnel!$D$2="yes",IF(Personnel!$D42*Personnel!G$74&gt;Salary_Cap,(Personnel!$D42*'FTE Table'!C42*Personnel!G$74)-('FTE Table'!C42*Salary_Cap),0),0)</f>
        <v>0</v>
      </c>
      <c r="V42" s="19">
        <f>IF(Personnel!$D$2="yes",IF(Personnel!$D42*Personnel!H$74&gt;Salary_Cap,(Personnel!$D42*'FTE Table'!D42*Personnel!H$74)-('FTE Table'!D42*Salary_Cap),0),0)</f>
        <v>0</v>
      </c>
      <c r="W42" s="19">
        <f>IF(Personnel!$D$2="yes",IF(Personnel!$D42*Personnel!I$74&gt;Salary_Cap,(Personnel!$D42*'FTE Table'!E42*Personnel!I$74)-('FTE Table'!E42*Salary_Cap),0),0)</f>
        <v>0</v>
      </c>
      <c r="X42" s="19">
        <f>IF(Personnel!$D$2="yes",IF(Personnel!$D42*Personnel!J$74&gt;Salary_Cap,(Personnel!$D42*'FTE Table'!F42*Personnel!J$74)-('FTE Table'!F42*Salary_Cap),0),0)</f>
        <v>0</v>
      </c>
      <c r="Z42" s="19">
        <f>IF(T42&gt;0,IF(Personnel!$C42&lt;&gt;"Sum",(T42*0.22883)+('FTE Table'!B42*5659),(T42*0.22883)),0)</f>
        <v>0</v>
      </c>
      <c r="AA42" s="19">
        <f>IF(U42&gt;0,IF(Personnel!$C42&lt;&gt;"Sum",(U42*0.22883)+('FTE Table'!C42*5659),(U42*0.22883)),0)</f>
        <v>0</v>
      </c>
      <c r="AB42" s="19">
        <f>IF(V42&gt;0,IF(Personnel!$C42&lt;&gt;"Sum",(V42*0.22883)+('FTE Table'!D42*5659),(V42*0.22883)),0)</f>
        <v>0</v>
      </c>
      <c r="AC42" s="19">
        <f>IF(W42&gt;0,IF(Personnel!$C42&lt;&gt;"Sum",(W42*0.22883)+('FTE Table'!E42*5659),(W42*0.22883)),0)</f>
        <v>0</v>
      </c>
      <c r="AD42" s="19">
        <f>IF(X42&gt;0,IF(Personnel!$C42&lt;&gt;"Sum",(X42*0.22883)+('FTE Table'!F42*5659),(X42*0.22883)),0)</f>
        <v>0</v>
      </c>
    </row>
    <row r="43" spans="1:30" x14ac:dyDescent="0.3">
      <c r="A43" s="294">
        <f>IF(Personnel!C43="Cost Share","",Personnel!A43)</f>
        <v>0</v>
      </c>
      <c r="B43" s="48">
        <f>ROUND(IF(Personnel!$C43="Cost Share",0,IF(Personnel!$D$2="No",(Personnel!F43/12)*Personnel!$D43*Personnel!F$74,IF((Personnel!$D43*Personnel!F$74)&lt;Salary_Cap,(Personnel!F43/12)*Personnel!$D43*Personnel!F$74,(Personnel!F43/12)*Salary_Cap))),0)</f>
        <v>0</v>
      </c>
      <c r="C43" s="48">
        <f>ROUND(IF(Personnel!$C43="Cost Share",0,IF(Personnel!$D$2="No",(Personnel!G43/12)*Personnel!$D43*Personnel!G$74,IF((Personnel!$D43*Personnel!G$74)&lt;Salary_Cap,(Personnel!G43/12)*Personnel!$D43*Personnel!G$74,(Personnel!G43/12)*Salary_Cap))),0)</f>
        <v>0</v>
      </c>
      <c r="D43" s="48">
        <f>ROUND(IF(Personnel!$C43="Cost Share",0,IF(Personnel!$D$2="No",(Personnel!H43/12)*Personnel!$D43*Personnel!H$74,IF((Personnel!$D43*Personnel!H$74)&lt;Salary_Cap,(Personnel!H43/12)*Personnel!$D43*Personnel!H$74,(Personnel!H43/12)*Salary_Cap))),0)</f>
        <v>0</v>
      </c>
      <c r="E43" s="48">
        <f>ROUND(IF(Personnel!$C43="Cost Share",0,IF(Personnel!$D$2="No",(Personnel!I43/12)*Personnel!$D43*Personnel!I$74,IF((Personnel!$D43*Personnel!I$74)&lt;Salary_Cap,(Personnel!I43/12)*Personnel!$D43*Personnel!I$74,(Personnel!I43/12)*Salary_Cap))),0)</f>
        <v>0</v>
      </c>
      <c r="F43" s="48">
        <f>ROUND(IF(Personnel!$C43="Cost Share",0,IF(Personnel!$D$2="No",(Personnel!J43/12)*Personnel!$D43*Personnel!J$74,IF((Personnel!$D43*Personnel!J$74)&lt;Salary_Cap,(Personnel!J43/12)*Personnel!$D43*Personnel!J$74,(Personnel!J43/12)*Salary_Cap))),0)</f>
        <v>0</v>
      </c>
      <c r="H43" s="48">
        <f>ROUND(B43*'Rate Table'!$E$3,0)</f>
        <v>0</v>
      </c>
      <c r="I43" s="48">
        <f>ROUND(C43*'Rate Table'!$E$3,0)</f>
        <v>0</v>
      </c>
      <c r="J43" s="48">
        <f>ROUND(D43*'Rate Table'!$E$3,0)</f>
        <v>0</v>
      </c>
      <c r="K43" s="48">
        <f>ROUND(E43*'Rate Table'!$E$3,0)</f>
        <v>0</v>
      </c>
      <c r="L43" s="48">
        <f>ROUND(F43*'Rate Table'!$E$3,0)</f>
        <v>0</v>
      </c>
      <c r="M43" s="49"/>
      <c r="N43" s="48">
        <f>IF(Personnel!$C43="Cost Share",0,2080*'FTE Table'!B43)</f>
        <v>0</v>
      </c>
      <c r="O43" s="48">
        <f>IF(Personnel!$C43="Cost Share",0,2080*'FTE Table'!C43)</f>
        <v>0</v>
      </c>
      <c r="P43" s="48">
        <f>IF(Personnel!$C43="Cost Share",0,2080*'FTE Table'!D43)</f>
        <v>0</v>
      </c>
      <c r="Q43" s="48">
        <f>IF(Personnel!$C43="Cost Share",0,2080*'FTE Table'!E43)</f>
        <v>0</v>
      </c>
      <c r="R43" s="48">
        <f>IF(Personnel!$C43="Cost Share",0,2080*'FTE Table'!F43)</f>
        <v>0</v>
      </c>
      <c r="T43" s="19">
        <f>IF(Personnel!$D$2="yes",IF(Personnel!$D43*Personnel!F$74&gt;Salary_Cap,(Personnel!$D43*'FTE Table'!B43*Personnel!F$74)-('FTE Table'!B43*Salary_Cap),0),0)</f>
        <v>0</v>
      </c>
      <c r="U43" s="19">
        <f>IF(Personnel!$D$2="yes",IF(Personnel!$D43*Personnel!G$74&gt;Salary_Cap,(Personnel!$D43*'FTE Table'!C43*Personnel!G$74)-('FTE Table'!C43*Salary_Cap),0),0)</f>
        <v>0</v>
      </c>
      <c r="V43" s="19">
        <f>IF(Personnel!$D$2="yes",IF(Personnel!$D43*Personnel!H$74&gt;Salary_Cap,(Personnel!$D43*'FTE Table'!D43*Personnel!H$74)-('FTE Table'!D43*Salary_Cap),0),0)</f>
        <v>0</v>
      </c>
      <c r="W43" s="19">
        <f>IF(Personnel!$D$2="yes",IF(Personnel!$D43*Personnel!I$74&gt;Salary_Cap,(Personnel!$D43*'FTE Table'!E43*Personnel!I$74)-('FTE Table'!E43*Salary_Cap),0),0)</f>
        <v>0</v>
      </c>
      <c r="X43" s="19">
        <f>IF(Personnel!$D$2="yes",IF(Personnel!$D43*Personnel!J$74&gt;Salary_Cap,(Personnel!$D43*'FTE Table'!F43*Personnel!J$74)-('FTE Table'!F43*Salary_Cap),0),0)</f>
        <v>0</v>
      </c>
      <c r="Z43" s="19">
        <f>IF(T43&gt;0,IF(Personnel!$C43&lt;&gt;"Sum",(T43*0.22883)+('FTE Table'!B43*5659),(T43*0.22883)),0)</f>
        <v>0</v>
      </c>
      <c r="AA43" s="19">
        <f>IF(U43&gt;0,IF(Personnel!$C43&lt;&gt;"Sum",(U43*0.22883)+('FTE Table'!C43*5659),(U43*0.22883)),0)</f>
        <v>0</v>
      </c>
      <c r="AB43" s="19">
        <f>IF(V43&gt;0,IF(Personnel!$C43&lt;&gt;"Sum",(V43*0.22883)+('FTE Table'!D43*5659),(V43*0.22883)),0)</f>
        <v>0</v>
      </c>
      <c r="AC43" s="19">
        <f>IF(W43&gt;0,IF(Personnel!$C43&lt;&gt;"Sum",(W43*0.22883)+('FTE Table'!E43*5659),(W43*0.22883)),0)</f>
        <v>0</v>
      </c>
      <c r="AD43" s="19">
        <f>IF(X43&gt;0,IF(Personnel!$C43&lt;&gt;"Sum",(X43*0.22883)+('FTE Table'!F43*5659),(X43*0.22883)),0)</f>
        <v>0</v>
      </c>
    </row>
    <row r="44" spans="1:30" x14ac:dyDescent="0.3">
      <c r="A44" s="294">
        <f>IF(Personnel!C44="Cost Share","",Personnel!A44)</f>
        <v>0</v>
      </c>
      <c r="B44" s="48">
        <f>ROUND(IF(Personnel!$C44="Cost Share",0,IF(Personnel!$D$2="No",(Personnel!F44/12)*Personnel!$D44*Personnel!F$74,IF((Personnel!$D44*Personnel!F$74)&lt;Salary_Cap,(Personnel!F44/12)*Personnel!$D44*Personnel!F$74,(Personnel!F44/12)*Salary_Cap))),0)</f>
        <v>0</v>
      </c>
      <c r="C44" s="48">
        <f>ROUND(IF(Personnel!$C44="Cost Share",0,IF(Personnel!$D$2="No",(Personnel!G44/12)*Personnel!$D44*Personnel!G$74,IF((Personnel!$D44*Personnel!G$74)&lt;Salary_Cap,(Personnel!G44/12)*Personnel!$D44*Personnel!G$74,(Personnel!G44/12)*Salary_Cap))),0)</f>
        <v>0</v>
      </c>
      <c r="D44" s="48">
        <f>ROUND(IF(Personnel!$C44="Cost Share",0,IF(Personnel!$D$2="No",(Personnel!H44/12)*Personnel!$D44*Personnel!H$74,IF((Personnel!$D44*Personnel!H$74)&lt;Salary_Cap,(Personnel!H44/12)*Personnel!$D44*Personnel!H$74,(Personnel!H44/12)*Salary_Cap))),0)</f>
        <v>0</v>
      </c>
      <c r="E44" s="48">
        <f>ROUND(IF(Personnel!$C44="Cost Share",0,IF(Personnel!$D$2="No",(Personnel!I44/12)*Personnel!$D44*Personnel!I$74,IF((Personnel!$D44*Personnel!I$74)&lt;Salary_Cap,(Personnel!I44/12)*Personnel!$D44*Personnel!I$74,(Personnel!I44/12)*Salary_Cap))),0)</f>
        <v>0</v>
      </c>
      <c r="F44" s="48">
        <f>ROUND(IF(Personnel!$C44="Cost Share",0,IF(Personnel!$D$2="No",(Personnel!J44/12)*Personnel!$D44*Personnel!J$74,IF((Personnel!$D44*Personnel!J$74)&lt;Salary_Cap,(Personnel!J44/12)*Personnel!$D44*Personnel!J$74,(Personnel!J44/12)*Salary_Cap))),0)</f>
        <v>0</v>
      </c>
      <c r="H44" s="48">
        <f>ROUND(B44*'Rate Table'!$E$3,0)</f>
        <v>0</v>
      </c>
      <c r="I44" s="48">
        <f>ROUND(C44*'Rate Table'!$E$3,0)</f>
        <v>0</v>
      </c>
      <c r="J44" s="48">
        <f>ROUND(D44*'Rate Table'!$E$3,0)</f>
        <v>0</v>
      </c>
      <c r="K44" s="48">
        <f>ROUND(E44*'Rate Table'!$E$3,0)</f>
        <v>0</v>
      </c>
      <c r="L44" s="48">
        <f>ROUND(F44*'Rate Table'!$E$3,0)</f>
        <v>0</v>
      </c>
      <c r="M44" s="49"/>
      <c r="N44" s="48">
        <f>IF(Personnel!$C44="Cost Share",0,2080*'FTE Table'!B44)</f>
        <v>0</v>
      </c>
      <c r="O44" s="48">
        <f>IF(Personnel!$C44="Cost Share",0,2080*'FTE Table'!C44)</f>
        <v>0</v>
      </c>
      <c r="P44" s="48">
        <f>IF(Personnel!$C44="Cost Share",0,2080*'FTE Table'!D44)</f>
        <v>0</v>
      </c>
      <c r="Q44" s="48">
        <f>IF(Personnel!$C44="Cost Share",0,2080*'FTE Table'!E44)</f>
        <v>0</v>
      </c>
      <c r="R44" s="48">
        <f>IF(Personnel!$C44="Cost Share",0,2080*'FTE Table'!F44)</f>
        <v>0</v>
      </c>
      <c r="T44" s="19">
        <f>IF(Personnel!$D$2="yes",IF(Personnel!$D44*Personnel!F$74&gt;Salary_Cap,(Personnel!$D44*'FTE Table'!B44*Personnel!F$74)-('FTE Table'!B44*Salary_Cap),0),0)</f>
        <v>0</v>
      </c>
      <c r="U44" s="19">
        <f>IF(Personnel!$D$2="yes",IF(Personnel!$D44*Personnel!G$74&gt;Salary_Cap,(Personnel!$D44*'FTE Table'!C44*Personnel!G$74)-('FTE Table'!C44*Salary_Cap),0),0)</f>
        <v>0</v>
      </c>
      <c r="V44" s="19">
        <f>IF(Personnel!$D$2="yes",IF(Personnel!$D44*Personnel!H$74&gt;Salary_Cap,(Personnel!$D44*'FTE Table'!D44*Personnel!H$74)-('FTE Table'!D44*Salary_Cap),0),0)</f>
        <v>0</v>
      </c>
      <c r="W44" s="19">
        <f>IF(Personnel!$D$2="yes",IF(Personnel!$D44*Personnel!I$74&gt;Salary_Cap,(Personnel!$D44*'FTE Table'!E44*Personnel!I$74)-('FTE Table'!E44*Salary_Cap),0),0)</f>
        <v>0</v>
      </c>
      <c r="X44" s="19">
        <f>IF(Personnel!$D$2="yes",IF(Personnel!$D44*Personnel!J$74&gt;Salary_Cap,(Personnel!$D44*'FTE Table'!F44*Personnel!J$74)-('FTE Table'!F44*Salary_Cap),0),0)</f>
        <v>0</v>
      </c>
      <c r="Z44" s="19">
        <f>IF(T44&gt;0,IF(Personnel!$C44&lt;&gt;"Sum",(T44*0.22883)+('FTE Table'!B44*5659),(T44*0.22883)),0)</f>
        <v>0</v>
      </c>
      <c r="AA44" s="19">
        <f>IF(U44&gt;0,IF(Personnel!$C44&lt;&gt;"Sum",(U44*0.22883)+('FTE Table'!C44*5659),(U44*0.22883)),0)</f>
        <v>0</v>
      </c>
      <c r="AB44" s="19">
        <f>IF(V44&gt;0,IF(Personnel!$C44&lt;&gt;"Sum",(V44*0.22883)+('FTE Table'!D44*5659),(V44*0.22883)),0)</f>
        <v>0</v>
      </c>
      <c r="AC44" s="19">
        <f>IF(W44&gt;0,IF(Personnel!$C44&lt;&gt;"Sum",(W44*0.22883)+('FTE Table'!E44*5659),(W44*0.22883)),0)</f>
        <v>0</v>
      </c>
      <c r="AD44" s="19">
        <f>IF(X44&gt;0,IF(Personnel!$C44&lt;&gt;"Sum",(X44*0.22883)+('FTE Table'!F44*5659),(X44*0.22883)),0)</f>
        <v>0</v>
      </c>
    </row>
    <row r="45" spans="1:30" x14ac:dyDescent="0.3">
      <c r="A45" s="50" t="s">
        <v>153</v>
      </c>
      <c r="B45" s="51">
        <f>ROUND(SUM(B38:B44),0)</f>
        <v>0</v>
      </c>
      <c r="C45" s="51">
        <f>ROUND(SUM(C38:C44),0)</f>
        <v>0</v>
      </c>
      <c r="D45" s="51">
        <f>ROUND(SUM(D38:D44),0)</f>
        <v>0</v>
      </c>
      <c r="E45" s="51">
        <f>ROUND(SUM(E38:E44),0)</f>
        <v>0</v>
      </c>
      <c r="F45" s="51">
        <f>ROUND(SUM(F38:F44),0)</f>
        <v>0</v>
      </c>
      <c r="G45" s="51"/>
      <c r="H45" s="51">
        <f>ROUND(SUM(H38:H44),0)</f>
        <v>0</v>
      </c>
      <c r="I45" s="51">
        <f>ROUND(SUM(I38:I44),0)</f>
        <v>0</v>
      </c>
      <c r="J45" s="51">
        <f>ROUND(SUM(J38:J44),0)</f>
        <v>0</v>
      </c>
      <c r="K45" s="51">
        <f>ROUND(SUM(K38:K44),0)</f>
        <v>0</v>
      </c>
      <c r="L45" s="51">
        <f>ROUND(SUM(L38:L44),0)</f>
        <v>0</v>
      </c>
      <c r="M45" s="51"/>
      <c r="N45" s="51">
        <f>SUM(N38:N44)</f>
        <v>0</v>
      </c>
      <c r="O45" s="51">
        <f>SUM(O38:O44)</f>
        <v>0</v>
      </c>
      <c r="P45" s="51">
        <f>SUM(P38:P44)</f>
        <v>0</v>
      </c>
      <c r="Q45" s="51">
        <f>SUM(Q38:Q44)</f>
        <v>0</v>
      </c>
      <c r="R45" s="51">
        <f>SUM(R38:R44)</f>
        <v>0</v>
      </c>
      <c r="T45" s="60">
        <f>SUM(T38:T44)</f>
        <v>0</v>
      </c>
      <c r="U45" s="60">
        <f>SUM(U38:U44)</f>
        <v>0</v>
      </c>
      <c r="V45" s="60">
        <f>SUM(V38:V44)</f>
        <v>0</v>
      </c>
      <c r="W45" s="60">
        <f>SUM(W38:W44)</f>
        <v>0</v>
      </c>
      <c r="X45" s="60">
        <f>SUM(X38:X44)</f>
        <v>0</v>
      </c>
      <c r="Z45" s="60">
        <f>SUM(Z38:Z44)</f>
        <v>0</v>
      </c>
      <c r="AA45" s="60">
        <f>SUM(AA38:AA44)</f>
        <v>0</v>
      </c>
      <c r="AB45" s="60">
        <f>SUM(AB38:AB44)</f>
        <v>0</v>
      </c>
      <c r="AC45" s="60">
        <f>SUM(AC38:AC44)</f>
        <v>0</v>
      </c>
      <c r="AD45" s="60">
        <f>SUM(AD38:AD44)</f>
        <v>0</v>
      </c>
    </row>
    <row r="46" spans="1:30" ht="15.6" customHeight="1" x14ac:dyDescent="0.3">
      <c r="A46" s="54"/>
      <c r="B46" s="411" t="s">
        <v>154</v>
      </c>
      <c r="C46" s="397"/>
      <c r="D46" s="397"/>
      <c r="E46" s="397"/>
      <c r="F46" s="397"/>
      <c r="G46" s="397"/>
      <c r="H46" s="397"/>
      <c r="I46" s="397"/>
      <c r="J46" s="397"/>
      <c r="K46" s="397"/>
      <c r="L46" s="397"/>
      <c r="M46" s="397"/>
      <c r="N46" s="397"/>
      <c r="O46" s="397"/>
      <c r="P46" s="397"/>
      <c r="Q46" s="397"/>
      <c r="R46" s="397"/>
      <c r="S46" s="132"/>
    </row>
    <row r="47" spans="1:30" x14ac:dyDescent="0.3">
      <c r="A47" s="294">
        <f>IF(Personnel!C47="Cost Share","",Personnel!A47)</f>
        <v>0</v>
      </c>
      <c r="B47" s="48">
        <f>ROUND(IF($A47&lt;&gt;"TBN Staff Member",(Personnel!F47/12)*Personnel!$D47*Personnel!F$74,(Personnel!F47/12)*Personnel!$D47*Personnel!F$74),0)</f>
        <v>0</v>
      </c>
      <c r="C47" s="48">
        <f>ROUND(IF($A47&lt;&gt;"TBN Staff Member",(Personnel!G47/12)*Personnel!$D47*Personnel!G$74,(Personnel!G47/12)*Personnel!$D47*Personnel!G$74),0)</f>
        <v>0</v>
      </c>
      <c r="D47" s="48">
        <f>ROUND(IF($A47&lt;&gt;"TBN Staff Member",(Personnel!H47/12)*Personnel!$D47*Personnel!H$74,(Personnel!H47/12)*Personnel!$D47*Personnel!H$74),0)</f>
        <v>0</v>
      </c>
      <c r="E47" s="48">
        <f>ROUND(IF($A47&lt;&gt;"TBN Staff Member",(Personnel!I47/12)*Personnel!$D47*Personnel!I$74,(Personnel!I47/12)*Personnel!$D47*Personnel!I$74),0)</f>
        <v>0</v>
      </c>
      <c r="F47" s="48">
        <f>ROUND(IF($A47&lt;&gt;"TBN Staff Member",(Personnel!J47/12)*Personnel!$D47*Personnel!J$74,(Personnel!J47/12)*Personnel!$D47*Personnel!J$74),0)</f>
        <v>0</v>
      </c>
      <c r="H47" s="48">
        <f>ROUND(B47*'Rate Table'!$E$11,0)</f>
        <v>0</v>
      </c>
      <c r="I47" s="48">
        <f>ROUND(C47*'Rate Table'!$E$11,0)</f>
        <v>0</v>
      </c>
      <c r="J47" s="48">
        <f>ROUND(D47*'Rate Table'!$E$11,0)</f>
        <v>0</v>
      </c>
      <c r="K47" s="48">
        <f>ROUND(E47*'Rate Table'!$E$11,0)</f>
        <v>0</v>
      </c>
      <c r="L47" s="48">
        <f>ROUND(F47*'Rate Table'!$E$11,0)</f>
        <v>0</v>
      </c>
      <c r="M47" s="49"/>
      <c r="N47" s="48">
        <f>IF(Personnel!$C$47="Cost Share",0,IF($A47&lt;&gt;"TBN Staff Member",1040*'FTE Table'!B47,2080*'FTE Table'!B47))</f>
        <v>0</v>
      </c>
      <c r="O47" s="48">
        <f>IF(Personnel!$C$47="Cost Share",0,IF($A47&lt;&gt;"TBN Staff Member",1040*'FTE Table'!C47,2080*'FTE Table'!C47))</f>
        <v>0</v>
      </c>
      <c r="P47" s="48">
        <f>IF(Personnel!$C$47="Cost Share",0,IF($A47&lt;&gt;"TBN Staff Member",1040*'FTE Table'!D47,2080*'FTE Table'!D47))</f>
        <v>0</v>
      </c>
      <c r="Q47" s="48">
        <f>IF(Personnel!$C$47="Cost Share",0,IF($A47&lt;&gt;"TBN Staff Member",1040*'FTE Table'!E47,2080*'FTE Table'!E47))</f>
        <v>0</v>
      </c>
      <c r="R47" s="48">
        <f>IF(Personnel!$C$47="Cost Share",0,IF($A47&lt;&gt;"TBN Staff Member",1040*'FTE Table'!F47,2080*'FTE Table'!F47))</f>
        <v>0</v>
      </c>
    </row>
    <row r="48" spans="1:30" x14ac:dyDescent="0.3">
      <c r="A48" s="294">
        <f>IF(Personnel!C48="Cost Share","",Personnel!A48)</f>
        <v>0</v>
      </c>
      <c r="B48" s="48">
        <f>ROUND(IF($A48&lt;&gt;"TBN Staff Member",(Personnel!F48/12)*Personnel!$D48*Personnel!F$74,(Personnel!F48/12)*Personnel!$D48*Personnel!F$74),0)</f>
        <v>0</v>
      </c>
      <c r="C48" s="48">
        <f>ROUND(IF($A48&lt;&gt;"TBN Staff Member",(Personnel!G48/12)*Personnel!$D48*Personnel!G$74,(Personnel!G48/12)*Personnel!$D48*Personnel!G$74),0)</f>
        <v>0</v>
      </c>
      <c r="D48" s="48">
        <f>ROUND(IF($A48&lt;&gt;"TBN Staff Member",(Personnel!H48/12)*Personnel!$D48*Personnel!H$74,(Personnel!H48/12)*Personnel!$D48*Personnel!H$74),0)</f>
        <v>0</v>
      </c>
      <c r="E48" s="48">
        <f>ROUND(IF($A48&lt;&gt;"TBN Staff Member",(Personnel!I48/12)*Personnel!$D48*Personnel!I$74,(Personnel!I48/12)*Personnel!$D48*Personnel!I$74),0)</f>
        <v>0</v>
      </c>
      <c r="F48" s="48">
        <f>ROUND(IF($A48&lt;&gt;"TBN Staff Member",(Personnel!J48/12)*Personnel!$D48*Personnel!J$74,(Personnel!J48/12)*Personnel!$D48*Personnel!J$74),0)</f>
        <v>0</v>
      </c>
      <c r="H48" s="48">
        <f>ROUND(B48*'Rate Table'!$E$11,0)</f>
        <v>0</v>
      </c>
      <c r="I48" s="48">
        <f>ROUND(C48*'Rate Table'!$E$11,0)</f>
        <v>0</v>
      </c>
      <c r="J48" s="48">
        <f>ROUND(D48*'Rate Table'!$E$11,0)</f>
        <v>0</v>
      </c>
      <c r="K48" s="48">
        <f>ROUND(E48*'Rate Table'!$E$11,0)</f>
        <v>0</v>
      </c>
      <c r="L48" s="48">
        <f>ROUND(F48*'Rate Table'!$E$11,0)</f>
        <v>0</v>
      </c>
      <c r="M48" s="49"/>
      <c r="N48" s="48">
        <f>IF(Personnel!$C$47="Cost Share",0,IF($A48&lt;&gt;"TBN Staff Member",1040*'FTE Table'!B48,2080*'FTE Table'!B48))</f>
        <v>0</v>
      </c>
      <c r="O48" s="48">
        <f>IF(Personnel!$C$47="Cost Share",0,IF($A48&lt;&gt;"TBN Staff Member",1040*'FTE Table'!C48,2080*'FTE Table'!C48))</f>
        <v>0</v>
      </c>
      <c r="P48" s="48">
        <f>IF(Personnel!$C$47="Cost Share",0,IF($A48&lt;&gt;"TBN Staff Member",1040*'FTE Table'!D48,2080*'FTE Table'!D48))</f>
        <v>0</v>
      </c>
      <c r="Q48" s="48">
        <f>IF(Personnel!$C$47="Cost Share",0,IF($A48&lt;&gt;"TBN Staff Member",1040*'FTE Table'!E48,2080*'FTE Table'!E48))</f>
        <v>0</v>
      </c>
      <c r="R48" s="48">
        <f>IF(Personnel!$C$47="Cost Share",0,IF($A48&lt;&gt;"TBN Staff Member",1040*'FTE Table'!F48,2080*'FTE Table'!F48))</f>
        <v>0</v>
      </c>
    </row>
    <row r="49" spans="1:19" x14ac:dyDescent="0.3">
      <c r="A49" s="294">
        <f>IF(Personnel!C49="Cost Share","",Personnel!A49)</f>
        <v>0</v>
      </c>
      <c r="B49" s="48">
        <f>ROUND(IF($A49&lt;&gt;"TBN Staff Member",(Personnel!F49/12)*Personnel!$D49*Personnel!F$74,(Personnel!F49/12)*Personnel!$D49*Personnel!F$74),0)</f>
        <v>0</v>
      </c>
      <c r="C49" s="48">
        <f>ROUND(IF($A49&lt;&gt;"TBN Staff Member",(Personnel!G49/12)*Personnel!$D49*Personnel!G$74,(Personnel!G49/12)*Personnel!$D49*Personnel!G$74),0)</f>
        <v>0</v>
      </c>
      <c r="D49" s="48">
        <f>ROUND(IF($A49&lt;&gt;"TBN Staff Member",(Personnel!H49/12)*Personnel!$D49*Personnel!H$74,(Personnel!H49/12)*Personnel!$D49*Personnel!H$74),0)</f>
        <v>0</v>
      </c>
      <c r="E49" s="48">
        <f>ROUND(IF($A49&lt;&gt;"TBN Staff Member",(Personnel!I49/12)*Personnel!$D49*Personnel!I$74,(Personnel!I49/12)*Personnel!$D49*Personnel!I$74),0)</f>
        <v>0</v>
      </c>
      <c r="F49" s="48">
        <f>ROUND(IF($A49&lt;&gt;"TBN Staff Member",(Personnel!J49/12)*Personnel!$D49*Personnel!J$74,(Personnel!J49/12)*Personnel!$D49*Personnel!J$74),0)</f>
        <v>0</v>
      </c>
      <c r="H49" s="48">
        <f>ROUND(B49*'Rate Table'!$E$11,0)</f>
        <v>0</v>
      </c>
      <c r="I49" s="48">
        <f>ROUND(C49*'Rate Table'!$E$11,0)</f>
        <v>0</v>
      </c>
      <c r="J49" s="48">
        <f>ROUND(D49*'Rate Table'!$E$11,0)</f>
        <v>0</v>
      </c>
      <c r="K49" s="48">
        <f>ROUND(E49*'Rate Table'!$E$11,0)</f>
        <v>0</v>
      </c>
      <c r="L49" s="48">
        <f>ROUND(F49*'Rate Table'!$E$11,0)</f>
        <v>0</v>
      </c>
      <c r="M49" s="49"/>
      <c r="N49" s="48">
        <f>IF(Personnel!$C$47="Cost Share",0,IF($A49&lt;&gt;"TBN Staff Member",1040*'FTE Table'!B49,2080*'FTE Table'!B49))</f>
        <v>0</v>
      </c>
      <c r="O49" s="48">
        <f>IF(Personnel!$C$47="Cost Share",0,IF($A49&lt;&gt;"TBN Staff Member",1040*'FTE Table'!C49,2080*'FTE Table'!C49))</f>
        <v>0</v>
      </c>
      <c r="P49" s="48">
        <f>IF(Personnel!$C$47="Cost Share",0,IF($A49&lt;&gt;"TBN Staff Member",1040*'FTE Table'!D49,2080*'FTE Table'!D49))</f>
        <v>0</v>
      </c>
      <c r="Q49" s="48">
        <f>IF(Personnel!$C$47="Cost Share",0,IF($A49&lt;&gt;"TBN Staff Member",1040*'FTE Table'!E49,2080*'FTE Table'!E49))</f>
        <v>0</v>
      </c>
      <c r="R49" s="48">
        <f>IF(Personnel!$C$47="Cost Share",0,IF($A49&lt;&gt;"TBN Staff Member",1040*'FTE Table'!F49,2080*'FTE Table'!F49))</f>
        <v>0</v>
      </c>
    </row>
    <row r="50" spans="1:19" x14ac:dyDescent="0.3">
      <c r="A50" s="294">
        <f>IF(Personnel!C50="Cost Share","",Personnel!A50)</f>
        <v>0</v>
      </c>
      <c r="B50" s="48">
        <f>ROUND(IF($A50&lt;&gt;"TBN Staff Member",(Personnel!F50/12)*Personnel!$D50*Personnel!F$74,(Personnel!F50/12)*Personnel!$D50*Personnel!F$74),0)</f>
        <v>0</v>
      </c>
      <c r="C50" s="48">
        <f>ROUND(IF($A50&lt;&gt;"TBN Staff Member",(Personnel!G50/12)*Personnel!$D50*Personnel!G$74,(Personnel!G50/12)*Personnel!$D50*Personnel!G$74),0)</f>
        <v>0</v>
      </c>
      <c r="D50" s="48">
        <f>ROUND(IF($A50&lt;&gt;"TBN Staff Member",(Personnel!H50/12)*Personnel!$D50*Personnel!H$74,(Personnel!H50/12)*Personnel!$D50*Personnel!H$74),0)</f>
        <v>0</v>
      </c>
      <c r="E50" s="48">
        <f>ROUND(IF($A50&lt;&gt;"TBN Staff Member",(Personnel!I50/12)*Personnel!$D50*Personnel!I$74,(Personnel!I50/12)*Personnel!$D50*Personnel!I$74),0)</f>
        <v>0</v>
      </c>
      <c r="F50" s="48">
        <f>ROUND(IF($A50&lt;&gt;"TBN Staff Member",(Personnel!J50/12)*Personnel!$D50*Personnel!J$74,(Personnel!J50/12)*Personnel!$D50*Personnel!J$74),0)</f>
        <v>0</v>
      </c>
      <c r="H50" s="48">
        <f>ROUND(B50*'Rate Table'!$E$11,0)</f>
        <v>0</v>
      </c>
      <c r="I50" s="48">
        <f>ROUND(C50*'Rate Table'!$E$11,0)</f>
        <v>0</v>
      </c>
      <c r="J50" s="48">
        <f>ROUND(D50*'Rate Table'!$E$11,0)</f>
        <v>0</v>
      </c>
      <c r="K50" s="48">
        <f>ROUND(E50*'Rate Table'!$E$11,0)</f>
        <v>0</v>
      </c>
      <c r="L50" s="48">
        <f>ROUND(F50*'Rate Table'!$E$11,0)</f>
        <v>0</v>
      </c>
      <c r="M50" s="49"/>
      <c r="N50" s="48">
        <f>IF(Personnel!$C$47="Cost Share",0,IF($A50&lt;&gt;"TBN Staff Member",1040*'FTE Table'!B50,2080*'FTE Table'!B50))</f>
        <v>0</v>
      </c>
      <c r="O50" s="48">
        <f>IF(Personnel!$C$47="Cost Share",0,IF($A50&lt;&gt;"TBN Staff Member",1040*'FTE Table'!C50,2080*'FTE Table'!C50))</f>
        <v>0</v>
      </c>
      <c r="P50" s="48">
        <f>IF(Personnel!$C$47="Cost Share",0,IF($A50&lt;&gt;"TBN Staff Member",1040*'FTE Table'!D50,2080*'FTE Table'!D50))</f>
        <v>0</v>
      </c>
      <c r="Q50" s="48">
        <f>IF(Personnel!$C$47="Cost Share",0,IF($A50&lt;&gt;"TBN Staff Member",1040*'FTE Table'!E50,2080*'FTE Table'!E50))</f>
        <v>0</v>
      </c>
      <c r="R50" s="48">
        <f>IF(Personnel!$C$47="Cost Share",0,IF($A50&lt;&gt;"TBN Staff Member",1040*'FTE Table'!F50,2080*'FTE Table'!F50))</f>
        <v>0</v>
      </c>
    </row>
    <row r="51" spans="1:19" x14ac:dyDescent="0.3">
      <c r="A51" s="294">
        <f>IF(Personnel!C51="Cost Share","",Personnel!A51)</f>
        <v>0</v>
      </c>
      <c r="B51" s="48">
        <f>ROUND(IF($A51&lt;&gt;"TBN Staff Member",(Personnel!F51/12)*Personnel!$D51*Personnel!F$74,(Personnel!F51/12)*Personnel!$D51*Personnel!F$74),0)</f>
        <v>0</v>
      </c>
      <c r="C51" s="48">
        <f>ROUND(IF($A51&lt;&gt;"TBN Staff Member",(Personnel!G51/12)*Personnel!$D51*Personnel!G$74,(Personnel!G51/12)*Personnel!$D51*Personnel!G$74),0)</f>
        <v>0</v>
      </c>
      <c r="D51" s="48">
        <f>ROUND(IF($A51&lt;&gt;"TBN Staff Member",(Personnel!H51/12)*Personnel!$D51*Personnel!H$74,(Personnel!H51/12)*Personnel!$D51*Personnel!H$74),0)</f>
        <v>0</v>
      </c>
      <c r="E51" s="48">
        <f>ROUND(IF($A51&lt;&gt;"TBN Staff Member",(Personnel!I51/12)*Personnel!$D51*Personnel!I$74,(Personnel!I51/12)*Personnel!$D51*Personnel!I$74),0)</f>
        <v>0</v>
      </c>
      <c r="F51" s="48">
        <f>ROUND(IF($A51&lt;&gt;"TBN Staff Member",(Personnel!J51/12)*Personnel!$D51*Personnel!J$74,(Personnel!J51/12)*Personnel!$D51*Personnel!J$74),0)</f>
        <v>0</v>
      </c>
      <c r="H51" s="48">
        <f>ROUND(B51*'Rate Table'!$E$11,0)</f>
        <v>0</v>
      </c>
      <c r="I51" s="48">
        <f>ROUND(C51*'Rate Table'!$E$11,0)</f>
        <v>0</v>
      </c>
      <c r="J51" s="48">
        <f>ROUND(D51*'Rate Table'!$E$11,0)</f>
        <v>0</v>
      </c>
      <c r="K51" s="48">
        <f>ROUND(E51*'Rate Table'!$E$11,0)</f>
        <v>0</v>
      </c>
      <c r="L51" s="48">
        <f>ROUND(F51*'Rate Table'!$E$11,0)</f>
        <v>0</v>
      </c>
      <c r="M51" s="49"/>
      <c r="N51" s="48">
        <f>IF(Personnel!$C$47="Cost Share",0,IF($A51&lt;&gt;"TBN Staff Member",1040*'FTE Table'!B51,2080*'FTE Table'!B51))</f>
        <v>0</v>
      </c>
      <c r="O51" s="48">
        <f>IF(Personnel!$C$47="Cost Share",0,IF($A51&lt;&gt;"TBN Staff Member",1040*'FTE Table'!C51,2080*'FTE Table'!C51))</f>
        <v>0</v>
      </c>
      <c r="P51" s="48">
        <f>IF(Personnel!$C$47="Cost Share",0,IF($A51&lt;&gt;"TBN Staff Member",1040*'FTE Table'!D51,2080*'FTE Table'!D51))</f>
        <v>0</v>
      </c>
      <c r="Q51" s="48">
        <f>IF(Personnel!$C$47="Cost Share",0,IF($A51&lt;&gt;"TBN Staff Member",1040*'FTE Table'!E51,2080*'FTE Table'!E51))</f>
        <v>0</v>
      </c>
      <c r="R51" s="48">
        <f>IF(Personnel!$C$47="Cost Share",0,IF($A51&lt;&gt;"TBN Staff Member",1040*'FTE Table'!F51,2080*'FTE Table'!F51))</f>
        <v>0</v>
      </c>
    </row>
    <row r="52" spans="1:19" x14ac:dyDescent="0.3">
      <c r="A52" s="294">
        <f>IF(Personnel!C52="Cost Share","",Personnel!A52)</f>
        <v>0</v>
      </c>
      <c r="B52" s="48">
        <f>ROUND(IF($A52&lt;&gt;"TBN Staff Member",(Personnel!F52/12)*Personnel!$D52*Personnel!F$74,(Personnel!F52/12)*Personnel!$D52*Personnel!F$74),0)</f>
        <v>0</v>
      </c>
      <c r="C52" s="48">
        <f>ROUND(IF($A52&lt;&gt;"TBN Staff Member",(Personnel!G52/12)*Personnel!$D52*Personnel!G$74,(Personnel!G52/12)*Personnel!$D52*Personnel!G$74),0)</f>
        <v>0</v>
      </c>
      <c r="D52" s="48">
        <f>ROUND(IF($A52&lt;&gt;"TBN Staff Member",(Personnel!H52/12)*Personnel!$D52*Personnel!H$74,(Personnel!H52/12)*Personnel!$D52*Personnel!H$74),0)</f>
        <v>0</v>
      </c>
      <c r="E52" s="48">
        <f>ROUND(IF($A52&lt;&gt;"TBN Staff Member",(Personnel!I52/12)*Personnel!$D52*Personnel!I$74,(Personnel!I52/12)*Personnel!$D52*Personnel!I$74),0)</f>
        <v>0</v>
      </c>
      <c r="F52" s="48">
        <f>ROUND(IF($A52&lt;&gt;"TBN Staff Member",(Personnel!J52/12)*Personnel!$D52*Personnel!J$74,(Personnel!J52/12)*Personnel!$D52*Personnel!J$74),0)</f>
        <v>0</v>
      </c>
      <c r="H52" s="48">
        <f>ROUND(B52*'Rate Table'!$E$11,0)</f>
        <v>0</v>
      </c>
      <c r="I52" s="48">
        <f>ROUND(C52*'Rate Table'!$E$11,0)</f>
        <v>0</v>
      </c>
      <c r="J52" s="48">
        <f>ROUND(D52*'Rate Table'!$E$11,0)</f>
        <v>0</v>
      </c>
      <c r="K52" s="48">
        <f>ROUND(E52*'Rate Table'!$E$11,0)</f>
        <v>0</v>
      </c>
      <c r="L52" s="48">
        <f>ROUND(F52*'Rate Table'!$E$11,0)</f>
        <v>0</v>
      </c>
      <c r="M52" s="49"/>
      <c r="N52" s="48">
        <f>IF(Personnel!$C$47="Cost Share",0,IF($A52&lt;&gt;"TBN Staff Member",1040*'FTE Table'!B52,2080*'FTE Table'!B52))</f>
        <v>0</v>
      </c>
      <c r="O52" s="48">
        <f>IF(Personnel!$C$47="Cost Share",0,IF($A52&lt;&gt;"TBN Staff Member",1040*'FTE Table'!C52,2080*'FTE Table'!C52))</f>
        <v>0</v>
      </c>
      <c r="P52" s="48">
        <f>IF(Personnel!$C$47="Cost Share",0,IF($A52&lt;&gt;"TBN Staff Member",1040*'FTE Table'!D52,2080*'FTE Table'!D52))</f>
        <v>0</v>
      </c>
      <c r="Q52" s="48">
        <f>IF(Personnel!$C$47="Cost Share",0,IF($A52&lt;&gt;"TBN Staff Member",1040*'FTE Table'!E52,2080*'FTE Table'!E52))</f>
        <v>0</v>
      </c>
      <c r="R52" s="48">
        <f>IF(Personnel!$C$47="Cost Share",0,IF($A52&lt;&gt;"TBN Staff Member",1040*'FTE Table'!F52,2080*'FTE Table'!F52))</f>
        <v>0</v>
      </c>
    </row>
    <row r="53" spans="1:19" x14ac:dyDescent="0.3">
      <c r="A53" s="50" t="s">
        <v>155</v>
      </c>
      <c r="B53" s="51">
        <f>ROUND(SUM(B47:B52),0)</f>
        <v>0</v>
      </c>
      <c r="C53" s="51">
        <f>ROUND(SUM(C47:C52),0)</f>
        <v>0</v>
      </c>
      <c r="D53" s="51">
        <f>ROUND(SUM(D47:D52),0)</f>
        <v>0</v>
      </c>
      <c r="E53" s="51">
        <f>ROUND(SUM(E47:E52),0)</f>
        <v>0</v>
      </c>
      <c r="F53" s="51">
        <f>ROUND(SUM(F47:F52),0)</f>
        <v>0</v>
      </c>
      <c r="G53" s="51"/>
      <c r="H53" s="51">
        <f>ROUND(SUM(H47:H52),0)</f>
        <v>0</v>
      </c>
      <c r="I53" s="51">
        <f>ROUND(SUM(I47:I52),0)</f>
        <v>0</v>
      </c>
      <c r="J53" s="51">
        <f>ROUND(SUM(J47:J52),0)</f>
        <v>0</v>
      </c>
      <c r="K53" s="51">
        <f>ROUND(SUM(K47:K52),0)</f>
        <v>0</v>
      </c>
      <c r="L53" s="51">
        <f>ROUND(SUM(L47:L52),0)</f>
        <v>0</v>
      </c>
      <c r="M53" s="51"/>
      <c r="N53" s="51">
        <f>SUM(N47:N52)</f>
        <v>0</v>
      </c>
      <c r="O53" s="51">
        <f>SUM(O47:O52)</f>
        <v>0</v>
      </c>
      <c r="P53" s="51">
        <f>SUM(P47:P52)</f>
        <v>0</v>
      </c>
      <c r="Q53" s="51">
        <f>SUM(Q47:Q52)</f>
        <v>0</v>
      </c>
      <c r="R53" s="51">
        <f>SUM(R47:R52)</f>
        <v>0</v>
      </c>
    </row>
    <row r="54" spans="1:19" ht="15.6" customHeight="1" x14ac:dyDescent="0.3">
      <c r="A54" s="54"/>
      <c r="B54" s="411" t="s">
        <v>59</v>
      </c>
      <c r="C54" s="397"/>
      <c r="D54" s="397"/>
      <c r="E54" s="397"/>
      <c r="F54" s="397"/>
      <c r="G54" s="397"/>
      <c r="H54" s="397"/>
      <c r="I54" s="397"/>
      <c r="J54" s="397"/>
      <c r="K54" s="397"/>
      <c r="L54" s="397"/>
      <c r="M54" s="397"/>
      <c r="N54" s="397"/>
      <c r="O54" s="397"/>
      <c r="P54" s="397"/>
      <c r="Q54" s="397"/>
      <c r="R54" s="397"/>
      <c r="S54" s="132"/>
    </row>
    <row r="55" spans="1:19" x14ac:dyDescent="0.3">
      <c r="A55" s="294">
        <f>IF(Personnel!C55="Cost Share","",Personnel!A55)</f>
        <v>0</v>
      </c>
      <c r="B55" s="48">
        <f>ROUND(IF(Personnel!$C55&lt;&gt;"Cost Share",((Personnel!F55/12)*Personnel!$D55),0),0)</f>
        <v>0</v>
      </c>
      <c r="C55" s="48">
        <f>ROUND(IF(Personnel!$C55&lt;&gt;"Cost Share",((Personnel!G55/12)*Personnel!$D55),0),0)</f>
        <v>0</v>
      </c>
      <c r="D55" s="48">
        <f>ROUND(IF(Personnel!$C55&lt;&gt;"Cost Share",((Personnel!H55/12)*Personnel!$D55),0),0)</f>
        <v>0</v>
      </c>
      <c r="E55" s="48">
        <f>ROUND(IF(Personnel!$C55&lt;&gt;"Cost Share",((Personnel!I55/12)*Personnel!$D55),0),0)</f>
        <v>0</v>
      </c>
      <c r="F55" s="48">
        <f>ROUND(IF(Personnel!$C55&lt;&gt;"Cost Share",((Personnel!J55/12)*Personnel!$D55),0),0)</f>
        <v>0</v>
      </c>
      <c r="H55" s="48">
        <f>ROUND((B55*'Rate Table'!$E$14)+('Rate Table'!$E$15*('Labor Detail'!N55/2080)),0)</f>
        <v>0</v>
      </c>
      <c r="I55" s="48">
        <f>ROUND((C55*'Rate Table'!$E$14)+('Rate Table'!$E$15*('Labor Detail'!O55/2080)),0)</f>
        <v>0</v>
      </c>
      <c r="J55" s="48">
        <f>ROUND((D55*'Rate Table'!$E$14)+('Rate Table'!$E$15*('Labor Detail'!P55/2080)),0)</f>
        <v>0</v>
      </c>
      <c r="K55" s="48">
        <f>ROUND((E55*'Rate Table'!$E$14)+('Rate Table'!$E$15*('Labor Detail'!Q55/2080)),0)</f>
        <v>0</v>
      </c>
      <c r="L55" s="48">
        <f>ROUND((F55*'Rate Table'!$E$14)+('Rate Table'!$E$15*('Labor Detail'!R55/2080)),0)</f>
        <v>0</v>
      </c>
      <c r="M55" s="49"/>
      <c r="N55" s="48">
        <f>IF(Personnel!$C55="Cost Share",0,2080*'FTE Table'!B55)</f>
        <v>0</v>
      </c>
      <c r="O55" s="48">
        <f>IF(Personnel!$C55="Cost Share",0,2080*'FTE Table'!C55)</f>
        <v>0</v>
      </c>
      <c r="P55" s="48">
        <f>IF(Personnel!$C55="Cost Share",0,2080*'FTE Table'!D55)</f>
        <v>0</v>
      </c>
      <c r="Q55" s="48">
        <f>IF(Personnel!$C55="Cost Share",0,2080*'FTE Table'!E55)</f>
        <v>0</v>
      </c>
      <c r="R55" s="48">
        <f>IF(Personnel!$C55="Cost Share",0,2080*'FTE Table'!F55)</f>
        <v>0</v>
      </c>
    </row>
    <row r="56" spans="1:19" x14ac:dyDescent="0.3">
      <c r="A56" s="294">
        <f>IF(Personnel!C56="Cost Share","",Personnel!A56)</f>
        <v>0</v>
      </c>
      <c r="B56" s="48">
        <f>ROUND(IF(Personnel!$C56&lt;&gt;"Cost Share",((Personnel!F56/12)*Personnel!$D56*Personnel!F$74),0),0)</f>
        <v>0</v>
      </c>
      <c r="C56" s="48">
        <f>ROUND(IF(Personnel!$C56&lt;&gt;"Cost Share",((Personnel!G56/12)*Personnel!$D56*Personnel!G$74),0),0)</f>
        <v>0</v>
      </c>
      <c r="D56" s="48">
        <f>ROUND(IF(Personnel!$C56&lt;&gt;"Cost Share",((Personnel!H56/12)*Personnel!$D56*Personnel!H$74),0),0)</f>
        <v>0</v>
      </c>
      <c r="E56" s="48">
        <f>ROUND(IF(Personnel!$C56&lt;&gt;"Cost Share",((Personnel!I56/12)*Personnel!$D56*Personnel!I$74),0),0)</f>
        <v>0</v>
      </c>
      <c r="F56" s="48">
        <f>ROUND(IF(Personnel!$C56&lt;&gt;"Cost Share",((Personnel!J56/12)*Personnel!$D56*Personnel!J$74),0),0)</f>
        <v>0</v>
      </c>
      <c r="H56" s="48">
        <f>ROUND((B56*'Rate Table'!$E$14)+('Rate Table'!$E$15*('Labor Detail'!N56/2080)),0)</f>
        <v>0</v>
      </c>
      <c r="I56" s="48">
        <f>ROUND((C56*'Rate Table'!$E$14)+('Rate Table'!$E$15*('Labor Detail'!O56/2080)),0)</f>
        <v>0</v>
      </c>
      <c r="J56" s="48">
        <f>ROUND((D56*'Rate Table'!$E$14)+('Rate Table'!$E$15*('Labor Detail'!P56/2080)),0)</f>
        <v>0</v>
      </c>
      <c r="K56" s="48">
        <f>ROUND((E56*'Rate Table'!$E$14)+('Rate Table'!$E$15*('Labor Detail'!Q56/2080)),0)</f>
        <v>0</v>
      </c>
      <c r="L56" s="48">
        <f>ROUND((F56*'Rate Table'!$E$14)+('Rate Table'!$E$15*('Labor Detail'!R56/2080)),0)</f>
        <v>0</v>
      </c>
      <c r="M56" s="49"/>
      <c r="N56" s="48">
        <f>IF(Personnel!$C56="Cost Share",0,2080*'FTE Table'!B56)</f>
        <v>0</v>
      </c>
      <c r="O56" s="48">
        <f>IF(Personnel!$C56="Cost Share",0,2080*'FTE Table'!C56)</f>
        <v>0</v>
      </c>
      <c r="P56" s="48">
        <f>IF(Personnel!$C56="Cost Share",0,2080*'FTE Table'!D56)</f>
        <v>0</v>
      </c>
      <c r="Q56" s="48">
        <f>IF(Personnel!$C56="Cost Share",0,2080*'FTE Table'!E56)</f>
        <v>0</v>
      </c>
      <c r="R56" s="48">
        <f>IF(Personnel!$C56="Cost Share",0,2080*'FTE Table'!F56)</f>
        <v>0</v>
      </c>
    </row>
    <row r="57" spans="1:19" x14ac:dyDescent="0.3">
      <c r="A57" s="294">
        <f>IF(Personnel!C57="Cost Share","",Personnel!A57)</f>
        <v>0</v>
      </c>
      <c r="B57" s="48">
        <f>ROUND(IF(Personnel!$C57&lt;&gt;"Cost Share",((Personnel!F57/12)*Personnel!$D57*Personnel!F$74),0),0)</f>
        <v>0</v>
      </c>
      <c r="C57" s="48">
        <f>ROUND(IF(Personnel!$C57&lt;&gt;"Cost Share",((Personnel!G57/12)*Personnel!$D57*Personnel!G$74),0),0)</f>
        <v>0</v>
      </c>
      <c r="D57" s="48">
        <f>ROUND(IF(Personnel!$C57&lt;&gt;"Cost Share",((Personnel!H57/12)*Personnel!$D57*Personnel!H$74),0),0)</f>
        <v>0</v>
      </c>
      <c r="E57" s="48">
        <f>ROUND(IF(Personnel!$C57&lt;&gt;"Cost Share",((Personnel!I57/12)*Personnel!$D57*Personnel!I$74),0),0)</f>
        <v>0</v>
      </c>
      <c r="F57" s="48">
        <f>ROUND(IF(Personnel!$C57&lt;&gt;"Cost Share",((Personnel!J57/12)*Personnel!$D57*Personnel!J$74),0),0)</f>
        <v>0</v>
      </c>
      <c r="H57" s="48">
        <f>ROUND((B57*'Rate Table'!$E$14)+('Rate Table'!$E$15*('Labor Detail'!N57/2080)),0)</f>
        <v>0</v>
      </c>
      <c r="I57" s="48">
        <f>ROUND((C57*'Rate Table'!$E$14)+('Rate Table'!$E$15*('Labor Detail'!O57/2080)),0)</f>
        <v>0</v>
      </c>
      <c r="J57" s="48">
        <f>ROUND((D57*'Rate Table'!$E$14)+('Rate Table'!$E$15*('Labor Detail'!P57/2080)),0)</f>
        <v>0</v>
      </c>
      <c r="K57" s="48">
        <f>ROUND((E57*'Rate Table'!$E$14)+('Rate Table'!$E$15*('Labor Detail'!Q57/2080)),0)</f>
        <v>0</v>
      </c>
      <c r="L57" s="48">
        <f>ROUND((F57*'Rate Table'!$E$14)+('Rate Table'!$E$15*('Labor Detail'!R57/2080)),0)</f>
        <v>0</v>
      </c>
      <c r="M57" s="49"/>
      <c r="N57" s="48">
        <f>IF(Personnel!$C57="Cost Share",0,2080*'FTE Table'!B57)</f>
        <v>0</v>
      </c>
      <c r="O57" s="48">
        <f>IF(Personnel!$C57="Cost Share",0,2080*'FTE Table'!C57)</f>
        <v>0</v>
      </c>
      <c r="P57" s="48">
        <f>IF(Personnel!$C57="Cost Share",0,2080*'FTE Table'!D57)</f>
        <v>0</v>
      </c>
      <c r="Q57" s="48">
        <f>IF(Personnel!$C57="Cost Share",0,2080*'FTE Table'!E57)</f>
        <v>0</v>
      </c>
      <c r="R57" s="48">
        <f>IF(Personnel!$C57="Cost Share",0,2080*'FTE Table'!F57)</f>
        <v>0</v>
      </c>
    </row>
    <row r="58" spans="1:19" x14ac:dyDescent="0.3">
      <c r="A58" s="294">
        <f>IF(Personnel!C58="Cost Share","",Personnel!A58)</f>
        <v>0</v>
      </c>
      <c r="B58" s="48">
        <f>ROUND(IF(Personnel!$C58&lt;&gt;"Cost Share",((Personnel!F58/12)*Personnel!$D58*Personnel!F$74),0),0)</f>
        <v>0</v>
      </c>
      <c r="C58" s="48">
        <f>ROUND(IF(Personnel!$C58&lt;&gt;"Cost Share",((Personnel!G58/12)*Personnel!$D58*Personnel!G$74),0),0)</f>
        <v>0</v>
      </c>
      <c r="D58" s="48">
        <f>ROUND(IF(Personnel!$C58&lt;&gt;"Cost Share",((Personnel!H58/12)*Personnel!$D58*Personnel!H$74),0),0)</f>
        <v>0</v>
      </c>
      <c r="E58" s="48">
        <f>ROUND(IF(Personnel!$C58&lt;&gt;"Cost Share",((Personnel!I58/12)*Personnel!$D58*Personnel!I$74),0),0)</f>
        <v>0</v>
      </c>
      <c r="F58" s="48">
        <f>ROUND(IF(Personnel!$C58&lt;&gt;"Cost Share",((Personnel!J58/12)*Personnel!$D58*Personnel!J$74),0),0)</f>
        <v>0</v>
      </c>
      <c r="H58" s="48">
        <f>ROUND((B58*'Rate Table'!$E$14)+('Rate Table'!$E$15*('Labor Detail'!N58/2080)),0)</f>
        <v>0</v>
      </c>
      <c r="I58" s="48">
        <f>ROUND((C58*'Rate Table'!$E$14)+('Rate Table'!$E$15*('Labor Detail'!O58/2080)),0)</f>
        <v>0</v>
      </c>
      <c r="J58" s="48">
        <f>ROUND((D58*'Rate Table'!$E$14)+('Rate Table'!$E$15*('Labor Detail'!P58/2080)),0)</f>
        <v>0</v>
      </c>
      <c r="K58" s="48">
        <f>ROUND((E58*'Rate Table'!$E$14)+('Rate Table'!$E$15*('Labor Detail'!Q58/2080)),0)</f>
        <v>0</v>
      </c>
      <c r="L58" s="48">
        <f>ROUND((F58*'Rate Table'!$E$14)+('Rate Table'!$E$15*('Labor Detail'!R58/2080)),0)</f>
        <v>0</v>
      </c>
      <c r="M58" s="49"/>
      <c r="N58" s="48">
        <f>IF(Personnel!$C58="Cost Share",0,2080*'FTE Table'!B58)</f>
        <v>0</v>
      </c>
      <c r="O58" s="48">
        <f>IF(Personnel!$C58="Cost Share",0,2080*'FTE Table'!C58)</f>
        <v>0</v>
      </c>
      <c r="P58" s="48">
        <f>IF(Personnel!$C58="Cost Share",0,2080*'FTE Table'!D58)</f>
        <v>0</v>
      </c>
      <c r="Q58" s="48">
        <f>IF(Personnel!$C58="Cost Share",0,2080*'FTE Table'!E58)</f>
        <v>0</v>
      </c>
      <c r="R58" s="48">
        <f>IF(Personnel!$C58="Cost Share",0,2080*'FTE Table'!F58)</f>
        <v>0</v>
      </c>
    </row>
    <row r="59" spans="1:19" x14ac:dyDescent="0.3">
      <c r="A59" s="294">
        <f>IF(Personnel!C59="Cost Share","",Personnel!A59)</f>
        <v>0</v>
      </c>
      <c r="B59" s="48">
        <f>ROUND(IF(Personnel!$C59&lt;&gt;"Cost Share",((Personnel!F59/12)*Personnel!$D59*Personnel!F$74),0),0)</f>
        <v>0</v>
      </c>
      <c r="C59" s="48">
        <f>ROUND(IF(Personnel!$C59&lt;&gt;"Cost Share",((Personnel!G59/12)*Personnel!$D59*Personnel!G$74),0),0)</f>
        <v>0</v>
      </c>
      <c r="D59" s="48">
        <f>ROUND(IF(Personnel!$C59&lt;&gt;"Cost Share",((Personnel!H59/12)*Personnel!$D59*Personnel!H$74),0),0)</f>
        <v>0</v>
      </c>
      <c r="E59" s="48">
        <f>ROUND(IF(Personnel!$C59&lt;&gt;"Cost Share",((Personnel!I59/12)*Personnel!$D59*Personnel!I$74),0),0)</f>
        <v>0</v>
      </c>
      <c r="F59" s="48">
        <f>ROUND(IF(Personnel!$C59&lt;&gt;"Cost Share",((Personnel!J59/12)*Personnel!$D59*Personnel!J$74),0),0)</f>
        <v>0</v>
      </c>
      <c r="H59" s="48">
        <f>ROUND((B59*'Rate Table'!$E$14)+('Rate Table'!$E$15*('Labor Detail'!N59/2080)),0)</f>
        <v>0</v>
      </c>
      <c r="I59" s="48">
        <f>ROUND((C59*'Rate Table'!$E$14)+('Rate Table'!$E$15*('Labor Detail'!O59/2080)),0)</f>
        <v>0</v>
      </c>
      <c r="J59" s="48">
        <f>ROUND((D59*'Rate Table'!$E$14)+('Rate Table'!$E$15*('Labor Detail'!P59/2080)),0)</f>
        <v>0</v>
      </c>
      <c r="K59" s="48">
        <f>ROUND((E59*'Rate Table'!$E$14)+('Rate Table'!$E$15*('Labor Detail'!Q59/2080)),0)</f>
        <v>0</v>
      </c>
      <c r="L59" s="48">
        <f>ROUND((F59*'Rate Table'!$E$14)+('Rate Table'!$E$15*('Labor Detail'!R59/2080)),0)</f>
        <v>0</v>
      </c>
      <c r="M59" s="49"/>
      <c r="N59" s="48">
        <f>IF(Personnel!$C59="Cost Share",0,2080*'FTE Table'!B59)</f>
        <v>0</v>
      </c>
      <c r="O59" s="48">
        <f>IF(Personnel!$C59="Cost Share",0,2080*'FTE Table'!C59)</f>
        <v>0</v>
      </c>
      <c r="P59" s="48">
        <f>IF(Personnel!$C59="Cost Share",0,2080*'FTE Table'!D59)</f>
        <v>0</v>
      </c>
      <c r="Q59" s="48">
        <f>IF(Personnel!$C59="Cost Share",0,2080*'FTE Table'!E59)</f>
        <v>0</v>
      </c>
      <c r="R59" s="48">
        <f>IF(Personnel!$C59="Cost Share",0,2080*'FTE Table'!F59)</f>
        <v>0</v>
      </c>
    </row>
    <row r="60" spans="1:19" x14ac:dyDescent="0.3">
      <c r="A60" s="294">
        <f>IF(Personnel!C60="Cost Share","",Personnel!A60)</f>
        <v>0</v>
      </c>
      <c r="B60" s="48">
        <f>ROUND(IF(Personnel!$C60&lt;&gt;"Cost Share",((Personnel!F60/12)*Personnel!$D60*Personnel!F$74),0),0)</f>
        <v>0</v>
      </c>
      <c r="C60" s="48">
        <f>ROUND(IF(Personnel!$C60&lt;&gt;"Cost Share",((Personnel!G60/12)*Personnel!$D60*Personnel!G$74),0),0)</f>
        <v>0</v>
      </c>
      <c r="D60" s="48">
        <f>ROUND(IF(Personnel!$C60&lt;&gt;"Cost Share",((Personnel!H60/12)*Personnel!$D60*Personnel!H$74),0),0)</f>
        <v>0</v>
      </c>
      <c r="E60" s="48">
        <f>ROUND(IF(Personnel!$C60&lt;&gt;"Cost Share",((Personnel!I60/12)*Personnel!$D60*Personnel!I$74),0),0)</f>
        <v>0</v>
      </c>
      <c r="F60" s="48">
        <f>ROUND(IF(Personnel!$C60&lt;&gt;"Cost Share",((Personnel!J60/12)*Personnel!$D60*Personnel!J$74),0),0)</f>
        <v>0</v>
      </c>
      <c r="H60" s="48">
        <f>ROUND((B60*'Rate Table'!$E$14)+('Rate Table'!$E$15*('Labor Detail'!N60/2080)),0)</f>
        <v>0</v>
      </c>
      <c r="I60" s="48">
        <f>ROUND((C60*'Rate Table'!$E$14)+('Rate Table'!$E$15*('Labor Detail'!O60/2080)),0)</f>
        <v>0</v>
      </c>
      <c r="J60" s="48">
        <f>ROUND((D60*'Rate Table'!$E$14)+('Rate Table'!$E$15*('Labor Detail'!P60/2080)),0)</f>
        <v>0</v>
      </c>
      <c r="K60" s="48">
        <f>ROUND((E60*'Rate Table'!$E$14)+('Rate Table'!$E$15*('Labor Detail'!Q60/2080)),0)</f>
        <v>0</v>
      </c>
      <c r="L60" s="48">
        <f>ROUND((F60*'Rate Table'!$E$14)+('Rate Table'!$E$15*('Labor Detail'!R60/2080)),0)</f>
        <v>0</v>
      </c>
      <c r="M60" s="49"/>
      <c r="N60" s="48">
        <f>IF(Personnel!$C60="Cost Share",0,2080*'FTE Table'!B60)</f>
        <v>0</v>
      </c>
      <c r="O60" s="48">
        <f>IF(Personnel!$C60="Cost Share",0,2080*'FTE Table'!C60)</f>
        <v>0</v>
      </c>
      <c r="P60" s="48">
        <f>IF(Personnel!$C60="Cost Share",0,2080*'FTE Table'!D60)</f>
        <v>0</v>
      </c>
      <c r="Q60" s="48">
        <f>IF(Personnel!$C60="Cost Share",0,2080*'FTE Table'!E60)</f>
        <v>0</v>
      </c>
      <c r="R60" s="48">
        <f>IF(Personnel!$C60="Cost Share",0,2080*'FTE Table'!F60)</f>
        <v>0</v>
      </c>
    </row>
    <row r="61" spans="1:19" x14ac:dyDescent="0.3">
      <c r="A61" s="50" t="s">
        <v>156</v>
      </c>
      <c r="B61" s="51">
        <f>ROUND(SUM(B55:B60),0)</f>
        <v>0</v>
      </c>
      <c r="C61" s="51">
        <f>ROUND(SUM(C55:C60),0)</f>
        <v>0</v>
      </c>
      <c r="D61" s="51">
        <f>ROUND(SUM(D55:D60),0)</f>
        <v>0</v>
      </c>
      <c r="E61" s="51">
        <f>ROUND(SUM(E55:E60),0)</f>
        <v>0</v>
      </c>
      <c r="F61" s="51">
        <f>ROUND(SUM(F55:F60),0)</f>
        <v>0</v>
      </c>
      <c r="G61" s="51"/>
      <c r="H61" s="51">
        <f>ROUND(SUM(H55:H60),0)</f>
        <v>0</v>
      </c>
      <c r="I61" s="51">
        <f>ROUND(SUM(I55:I60),0)</f>
        <v>0</v>
      </c>
      <c r="J61" s="51">
        <f>ROUND(SUM(J55:J60),0)</f>
        <v>0</v>
      </c>
      <c r="K61" s="51">
        <f>ROUND(SUM(K55:K60),0)</f>
        <v>0</v>
      </c>
      <c r="L61" s="51">
        <f>ROUND(SUM(L55:L60),0)</f>
        <v>0</v>
      </c>
      <c r="M61" s="51"/>
      <c r="N61" s="51">
        <f>SUM(N55:N60)</f>
        <v>0</v>
      </c>
      <c r="O61" s="51">
        <f>SUM(O55:O60)</f>
        <v>0</v>
      </c>
      <c r="P61" s="51">
        <f>SUM(P55:P60)</f>
        <v>0</v>
      </c>
      <c r="Q61" s="51">
        <f>SUM(Q55:Q60)</f>
        <v>0</v>
      </c>
      <c r="R61" s="51">
        <f>SUM(R55:R60)</f>
        <v>0</v>
      </c>
    </row>
    <row r="62" spans="1:19" ht="15.6" customHeight="1" x14ac:dyDescent="0.3">
      <c r="A62" s="54"/>
      <c r="B62" s="411" t="s">
        <v>56</v>
      </c>
      <c r="C62" s="397"/>
      <c r="D62" s="397"/>
      <c r="E62" s="397"/>
      <c r="F62" s="397"/>
      <c r="G62" s="397"/>
      <c r="H62" s="397"/>
      <c r="I62" s="397"/>
      <c r="J62" s="397"/>
      <c r="K62" s="397"/>
      <c r="L62" s="397"/>
      <c r="M62" s="397"/>
      <c r="N62" s="397"/>
      <c r="O62" s="397"/>
      <c r="P62" s="397"/>
      <c r="Q62" s="397"/>
      <c r="R62" s="397"/>
      <c r="S62" s="132"/>
    </row>
    <row r="63" spans="1:19" x14ac:dyDescent="0.3">
      <c r="A63" s="294">
        <f>IF(Personnel!C63="Cost Share","",Personnel!A63)</f>
        <v>0</v>
      </c>
      <c r="B63" s="48">
        <f>ROUND(IF(Personnel!$C63&lt;&gt;"Cost Share",((Personnel!F63/12)*Personnel!$D63*Personnel!F$74),0),0)</f>
        <v>0</v>
      </c>
      <c r="C63" s="48">
        <f>ROUND(IF(Personnel!$C63&lt;&gt;"Cost Share",((Personnel!G63/12)*Personnel!$D63*Personnel!G$74),0),0)</f>
        <v>0</v>
      </c>
      <c r="D63" s="48">
        <f>ROUND(IF(Personnel!$C63&lt;&gt;"Cost Share",((Personnel!H63/12)*Personnel!$D63*Personnel!H$74),0),0)</f>
        <v>0</v>
      </c>
      <c r="E63" s="48">
        <f>ROUND(IF(Personnel!$C63&lt;&gt;"Cost Share",((Personnel!I63/12)*Personnel!$D63*Personnel!I$74),0),0)</f>
        <v>0</v>
      </c>
      <c r="F63" s="48">
        <f>ROUND(IF(Personnel!$C63&lt;&gt;"Cost Share",((Personnel!J63/12)*Personnel!$D63*Personnel!J$74),0),0)</f>
        <v>0</v>
      </c>
      <c r="H63" s="48">
        <f>ROUND(B63*'Rate Table'!$E$11,0)</f>
        <v>0</v>
      </c>
      <c r="I63" s="48">
        <f>ROUND(C63*'Rate Table'!$E$11,0)</f>
        <v>0</v>
      </c>
      <c r="J63" s="48">
        <f>ROUND(D63*'Rate Table'!$E$11,0)</f>
        <v>0</v>
      </c>
      <c r="K63" s="48">
        <f>ROUND(E63*'Rate Table'!$E$11,0)</f>
        <v>0</v>
      </c>
      <c r="L63" s="48">
        <f>ROUND(F63*'Rate Table'!$E$11,0)</f>
        <v>0</v>
      </c>
      <c r="M63" s="49"/>
      <c r="N63" s="48">
        <f>IF(Personnel!$C63="Cost Share",0,1040*'FTE Table'!B63)</f>
        <v>0</v>
      </c>
      <c r="O63" s="48">
        <f>IF(Personnel!$C63="Cost Share",0,1040*'FTE Table'!C63)</f>
        <v>0</v>
      </c>
      <c r="P63" s="48">
        <f>IF(Personnel!$C63="Cost Share",0,1040*'FTE Table'!D63)</f>
        <v>0</v>
      </c>
      <c r="Q63" s="48">
        <f>IF(Personnel!$C63="Cost Share",0,1040*'FTE Table'!E63)</f>
        <v>0</v>
      </c>
      <c r="R63" s="48">
        <f>IF(Personnel!$C63="Cost Share",0,1040*'FTE Table'!F63)</f>
        <v>0</v>
      </c>
    </row>
    <row r="64" spans="1:19" x14ac:dyDescent="0.3">
      <c r="A64" s="294">
        <f>IF(Personnel!C64="Cost Share","",Personnel!A64)</f>
        <v>0</v>
      </c>
      <c r="B64" s="48">
        <f>ROUND(IF(Personnel!$C64&lt;&gt;"Cost Share",((Personnel!F64/12)*Personnel!$D64*Personnel!F$74),0),0)</f>
        <v>0</v>
      </c>
      <c r="C64" s="48">
        <f>ROUND(IF(Personnel!$C64&lt;&gt;"Cost Share",((Personnel!G64/12)*Personnel!$D64*Personnel!G$74),0),0)</f>
        <v>0</v>
      </c>
      <c r="D64" s="48">
        <f>ROUND(IF(Personnel!$C64&lt;&gt;"Cost Share",((Personnel!H64/12)*Personnel!$D64*Personnel!H$74),0),0)</f>
        <v>0</v>
      </c>
      <c r="E64" s="48">
        <f>ROUND(IF(Personnel!$C64&lt;&gt;"Cost Share",((Personnel!I64/12)*Personnel!$D64*Personnel!I$74),0),0)</f>
        <v>0</v>
      </c>
      <c r="F64" s="48">
        <f>ROUND(IF(Personnel!$C64&lt;&gt;"Cost Share",((Personnel!J64/12)*Personnel!$D64*Personnel!J$74),0),0)</f>
        <v>0</v>
      </c>
      <c r="H64" s="48">
        <f>ROUND(B64*'Rate Table'!$E$11,0)</f>
        <v>0</v>
      </c>
      <c r="I64" s="48">
        <f>ROUND(C64*'Rate Table'!$E$11,0)</f>
        <v>0</v>
      </c>
      <c r="J64" s="48">
        <f>ROUND(D64*'Rate Table'!$E$11,0)</f>
        <v>0</v>
      </c>
      <c r="K64" s="48">
        <f>ROUND(E64*'Rate Table'!$E$11,0)</f>
        <v>0</v>
      </c>
      <c r="L64" s="48">
        <f>ROUND(F64*'Rate Table'!$E$11,0)</f>
        <v>0</v>
      </c>
      <c r="M64" s="49"/>
      <c r="N64" s="48">
        <f>IF(Personnel!$C64="Cost Share",0,1040*'FTE Table'!B64)</f>
        <v>0</v>
      </c>
      <c r="O64" s="48">
        <f>IF(Personnel!$C64="Cost Share",0,1040*'FTE Table'!C64)</f>
        <v>0</v>
      </c>
      <c r="P64" s="48">
        <f>IF(Personnel!$C64="Cost Share",0,1040*'FTE Table'!D64)</f>
        <v>0</v>
      </c>
      <c r="Q64" s="48">
        <f>IF(Personnel!$C64="Cost Share",0,1040*'FTE Table'!E64)</f>
        <v>0</v>
      </c>
      <c r="R64" s="48">
        <f>IF(Personnel!$C64="Cost Share",0,1040*'FTE Table'!F64)</f>
        <v>0</v>
      </c>
    </row>
    <row r="65" spans="1:19" x14ac:dyDescent="0.3">
      <c r="A65" s="294">
        <f>IF(Personnel!C65="Cost Share","",Personnel!A65)</f>
        <v>0</v>
      </c>
      <c r="B65" s="48">
        <f>ROUND(IF(Personnel!$C65&lt;&gt;"Cost Share",((Personnel!F65/12)*Personnel!$D65*Personnel!F$74),0),0)</f>
        <v>0</v>
      </c>
      <c r="C65" s="48">
        <f>ROUND(IF(Personnel!$C65&lt;&gt;"Cost Share",((Personnel!G65/12)*Personnel!$D65*Personnel!G$74),0),0)</f>
        <v>0</v>
      </c>
      <c r="D65" s="48">
        <f>ROUND(IF(Personnel!$C65&lt;&gt;"Cost Share",((Personnel!H65/12)*Personnel!$D65*Personnel!H$74),0),0)</f>
        <v>0</v>
      </c>
      <c r="E65" s="48">
        <f>ROUND(IF(Personnel!$C65&lt;&gt;"Cost Share",((Personnel!I65/12)*Personnel!$D65*Personnel!I$74),0),0)</f>
        <v>0</v>
      </c>
      <c r="F65" s="48">
        <f>ROUND(IF(Personnel!$C65&lt;&gt;"Cost Share",((Personnel!J65/12)*Personnel!$D65*Personnel!J$74),0),0)</f>
        <v>0</v>
      </c>
      <c r="H65" s="48">
        <f>ROUND(B65*'Rate Table'!$E$11,0)</f>
        <v>0</v>
      </c>
      <c r="I65" s="48">
        <f>ROUND(C65*'Rate Table'!$E$11,0)</f>
        <v>0</v>
      </c>
      <c r="J65" s="48">
        <f>ROUND(D65*'Rate Table'!$E$11,0)</f>
        <v>0</v>
      </c>
      <c r="K65" s="48">
        <f>ROUND(E65*'Rate Table'!$E$11,0)</f>
        <v>0</v>
      </c>
      <c r="L65" s="48">
        <f>ROUND(F65*'Rate Table'!$E$11,0)</f>
        <v>0</v>
      </c>
      <c r="M65" s="49"/>
      <c r="N65" s="48">
        <f>IF(Personnel!$C65="Cost Share",0,1040*'FTE Table'!B65)</f>
        <v>0</v>
      </c>
      <c r="O65" s="48">
        <f>IF(Personnel!$C65="Cost Share",0,1040*'FTE Table'!C65)</f>
        <v>0</v>
      </c>
      <c r="P65" s="48">
        <f>IF(Personnel!$C65="Cost Share",0,1040*'FTE Table'!D65)</f>
        <v>0</v>
      </c>
      <c r="Q65" s="48">
        <f>IF(Personnel!$C65="Cost Share",0,1040*'FTE Table'!E65)</f>
        <v>0</v>
      </c>
      <c r="R65" s="48">
        <f>IF(Personnel!$C65="Cost Share",0,1040*'FTE Table'!F65)</f>
        <v>0</v>
      </c>
    </row>
    <row r="66" spans="1:19" x14ac:dyDescent="0.3">
      <c r="A66" s="294">
        <f>IF(Personnel!C66="Cost Share","",Personnel!A66)</f>
        <v>0</v>
      </c>
      <c r="B66" s="48">
        <f>ROUND(IF(Personnel!$C66&lt;&gt;"Cost Share",((Personnel!F66/12)*Personnel!$D66*Personnel!F$74),0),0)</f>
        <v>0</v>
      </c>
      <c r="C66" s="48">
        <f>ROUND(IF(Personnel!$C66&lt;&gt;"Cost Share",((Personnel!G66/12)*Personnel!$D66*Personnel!G$74),0),0)</f>
        <v>0</v>
      </c>
      <c r="D66" s="48">
        <f>ROUND(IF(Personnel!$C66&lt;&gt;"Cost Share",((Personnel!H66/12)*Personnel!$D66*Personnel!H$74),0),0)</f>
        <v>0</v>
      </c>
      <c r="E66" s="48">
        <f>ROUND(IF(Personnel!$C66&lt;&gt;"Cost Share",((Personnel!I66/12)*Personnel!$D66*Personnel!I$74),0),0)</f>
        <v>0</v>
      </c>
      <c r="F66" s="48">
        <f>ROUND(IF(Personnel!$C66&lt;&gt;"Cost Share",((Personnel!J66/12)*Personnel!$D66*Personnel!J$74),0),0)</f>
        <v>0</v>
      </c>
      <c r="H66" s="48">
        <f>ROUND(B66*'Rate Table'!$E$11,0)</f>
        <v>0</v>
      </c>
      <c r="I66" s="48">
        <f>ROUND(C66*'Rate Table'!$E$11,0)</f>
        <v>0</v>
      </c>
      <c r="J66" s="48">
        <f>ROUND(D66*'Rate Table'!$E$11,0)</f>
        <v>0</v>
      </c>
      <c r="K66" s="48">
        <f>ROUND(E66*'Rate Table'!$E$11,0)</f>
        <v>0</v>
      </c>
      <c r="L66" s="48">
        <f>ROUND(F66*'Rate Table'!$E$11,0)</f>
        <v>0</v>
      </c>
      <c r="M66" s="49"/>
      <c r="N66" s="48">
        <f>IF(Personnel!$C66="Cost Share",0,1040*'FTE Table'!B66)</f>
        <v>0</v>
      </c>
      <c r="O66" s="48">
        <f>IF(Personnel!$C66="Cost Share",0,1040*'FTE Table'!C66)</f>
        <v>0</v>
      </c>
      <c r="P66" s="48">
        <f>IF(Personnel!$C66="Cost Share",0,1040*'FTE Table'!D66)</f>
        <v>0</v>
      </c>
      <c r="Q66" s="48">
        <f>IF(Personnel!$C66="Cost Share",0,1040*'FTE Table'!E66)</f>
        <v>0</v>
      </c>
      <c r="R66" s="48">
        <f>IF(Personnel!$C66="Cost Share",0,1040*'FTE Table'!F66)</f>
        <v>0</v>
      </c>
    </row>
    <row r="67" spans="1:19" x14ac:dyDescent="0.3">
      <c r="A67" s="294">
        <f>IF(Personnel!C67="Cost Share","",Personnel!A67)</f>
        <v>0</v>
      </c>
      <c r="B67" s="48">
        <f>ROUND(IF(Personnel!$C67&lt;&gt;"Cost Share",((Personnel!F67/12)*Personnel!$D67*Personnel!F$74),0),0)</f>
        <v>0</v>
      </c>
      <c r="C67" s="48">
        <f>ROUND(IF(Personnel!$C67&lt;&gt;"Cost Share",((Personnel!G67/12)*Personnel!$D67*Personnel!G$74),0),0)</f>
        <v>0</v>
      </c>
      <c r="D67" s="48">
        <f>ROUND(IF(Personnel!$C67&lt;&gt;"Cost Share",((Personnel!H67/12)*Personnel!$D67*Personnel!H$74),0),0)</f>
        <v>0</v>
      </c>
      <c r="E67" s="48">
        <f>ROUND(IF(Personnel!$C67&lt;&gt;"Cost Share",((Personnel!I67/12)*Personnel!$D67*Personnel!I$74),0),0)</f>
        <v>0</v>
      </c>
      <c r="F67" s="48">
        <f>ROUND(IF(Personnel!$C67&lt;&gt;"Cost Share",((Personnel!J67/12)*Personnel!$D67*Personnel!J$74),0),0)</f>
        <v>0</v>
      </c>
      <c r="H67" s="48">
        <f>ROUND(B67*'Rate Table'!$E$11,0)</f>
        <v>0</v>
      </c>
      <c r="I67" s="48">
        <f>ROUND(C67*'Rate Table'!$E$11,0)</f>
        <v>0</v>
      </c>
      <c r="J67" s="48">
        <f>ROUND(D67*'Rate Table'!$E$11,0)</f>
        <v>0</v>
      </c>
      <c r="K67" s="48">
        <f>ROUND(E67*'Rate Table'!$E$11,0)</f>
        <v>0</v>
      </c>
      <c r="L67" s="48">
        <f>ROUND(F67*'Rate Table'!$E$11,0)</f>
        <v>0</v>
      </c>
      <c r="M67" s="49"/>
      <c r="N67" s="48">
        <f>IF(Personnel!$C67="Cost Share",0,1040*'FTE Table'!B67)</f>
        <v>0</v>
      </c>
      <c r="O67" s="48">
        <f>IF(Personnel!$C67="Cost Share",0,1040*'FTE Table'!C67)</f>
        <v>0</v>
      </c>
      <c r="P67" s="48">
        <f>IF(Personnel!$C67="Cost Share",0,1040*'FTE Table'!D67)</f>
        <v>0</v>
      </c>
      <c r="Q67" s="48">
        <f>IF(Personnel!$C67="Cost Share",0,1040*'FTE Table'!E67)</f>
        <v>0</v>
      </c>
      <c r="R67" s="48">
        <f>IF(Personnel!$C67="Cost Share",0,1040*'FTE Table'!F67)</f>
        <v>0</v>
      </c>
    </row>
    <row r="68" spans="1:19" x14ac:dyDescent="0.3">
      <c r="A68" s="294">
        <f>IF(Personnel!C68="Cost Share","",Personnel!A68)</f>
        <v>0</v>
      </c>
      <c r="B68" s="48">
        <f>ROUND(IF(Personnel!$C68&lt;&gt;"Cost Share",((Personnel!F68/12)*Personnel!$D68*Personnel!F$74),0),0)</f>
        <v>0</v>
      </c>
      <c r="C68" s="48">
        <f>ROUND(IF(Personnel!$C68&lt;&gt;"Cost Share",((Personnel!G68/12)*Personnel!$D68*Personnel!G$74),0),0)</f>
        <v>0</v>
      </c>
      <c r="D68" s="48">
        <f>ROUND(IF(Personnel!$C68&lt;&gt;"Cost Share",((Personnel!H68/12)*Personnel!$D68*Personnel!H$74),0),0)</f>
        <v>0</v>
      </c>
      <c r="E68" s="48">
        <f>ROUND(IF(Personnel!$C68&lt;&gt;"Cost Share",((Personnel!I68/12)*Personnel!$D68*Personnel!I$74),0),0)</f>
        <v>0</v>
      </c>
      <c r="F68" s="48">
        <f>ROUND(IF(Personnel!$C68&lt;&gt;"Cost Share",((Personnel!J68/12)*Personnel!$D68*Personnel!J$74),0),0)</f>
        <v>0</v>
      </c>
      <c r="H68" s="48">
        <f>ROUND(B68*'Rate Table'!$E$11,0)</f>
        <v>0</v>
      </c>
      <c r="I68" s="48">
        <f>ROUND(C68*'Rate Table'!$E$11,0)</f>
        <v>0</v>
      </c>
      <c r="J68" s="48">
        <f>ROUND(D68*'Rate Table'!$E$11,0)</f>
        <v>0</v>
      </c>
      <c r="K68" s="48">
        <f>ROUND(E68*'Rate Table'!$E$11,0)</f>
        <v>0</v>
      </c>
      <c r="L68" s="48">
        <f>ROUND(F68*'Rate Table'!$E$11,0)</f>
        <v>0</v>
      </c>
      <c r="M68" s="49"/>
      <c r="N68" s="48">
        <f>IF(Personnel!$C68="Cost Share",0,1040*'FTE Table'!B68)</f>
        <v>0</v>
      </c>
      <c r="O68" s="48">
        <f>IF(Personnel!$C68="Cost Share",0,1040*'FTE Table'!C68)</f>
        <v>0</v>
      </c>
      <c r="P68" s="48">
        <f>IF(Personnel!$C68="Cost Share",0,1040*'FTE Table'!D68)</f>
        <v>0</v>
      </c>
      <c r="Q68" s="48">
        <f>IF(Personnel!$C68="Cost Share",0,1040*'FTE Table'!E68)</f>
        <v>0</v>
      </c>
      <c r="R68" s="48">
        <f>IF(Personnel!$C68="Cost Share",0,1040*'FTE Table'!F68)</f>
        <v>0</v>
      </c>
    </row>
    <row r="69" spans="1:19" x14ac:dyDescent="0.3">
      <c r="A69" s="55" t="s">
        <v>157</v>
      </c>
      <c r="B69" s="51">
        <f>SUM(B63:B68)</f>
        <v>0</v>
      </c>
      <c r="C69" s="51">
        <f>SUM(C63:C68)</f>
        <v>0</v>
      </c>
      <c r="D69" s="51">
        <f>SUM(D63:D68)</f>
        <v>0</v>
      </c>
      <c r="E69" s="51">
        <f>SUM(E63:E68)</f>
        <v>0</v>
      </c>
      <c r="F69" s="51">
        <f>SUM(F63:F68)</f>
        <v>0</v>
      </c>
      <c r="G69" s="51"/>
      <c r="H69" s="51">
        <f>SUM(H63:H68)</f>
        <v>0</v>
      </c>
      <c r="I69" s="51">
        <f>SUM(I63:I68)</f>
        <v>0</v>
      </c>
      <c r="J69" s="51">
        <f>SUM(J63:J68)</f>
        <v>0</v>
      </c>
      <c r="K69" s="51">
        <f>SUM(K63:K68)</f>
        <v>0</v>
      </c>
      <c r="L69" s="51">
        <f>SUM(L63:L68)</f>
        <v>0</v>
      </c>
      <c r="M69" s="51"/>
      <c r="N69" s="51">
        <f>SUM(N63:N68)</f>
        <v>0</v>
      </c>
      <c r="O69" s="51">
        <f>SUM(O63:O68)</f>
        <v>0</v>
      </c>
      <c r="P69" s="51">
        <f>SUM(P63:P68)</f>
        <v>0</v>
      </c>
      <c r="Q69" s="51">
        <f>SUM(Q63:Q68)</f>
        <v>0</v>
      </c>
      <c r="R69" s="51">
        <f>SUM(R63:R68)</f>
        <v>0</v>
      </c>
    </row>
    <row r="71" spans="1:19" ht="18" customHeight="1" x14ac:dyDescent="0.35">
      <c r="A71" s="56" t="s">
        <v>158</v>
      </c>
      <c r="B71" s="57">
        <f>B69+B61+B53+B45+B36</f>
        <v>0</v>
      </c>
      <c r="C71" s="57">
        <f>C69+C61+C53+C45+C36</f>
        <v>0</v>
      </c>
      <c r="D71" s="57">
        <f>D69+D61+D53+D45+D36</f>
        <v>0</v>
      </c>
      <c r="E71" s="57">
        <f>E69+E61+E53+E45+E36</f>
        <v>0</v>
      </c>
      <c r="F71" s="57">
        <f>F69+F61+F53+F45+F36</f>
        <v>0</v>
      </c>
      <c r="G71" s="26"/>
      <c r="H71" s="57">
        <f>H69+H61+H53+H45+H36</f>
        <v>0</v>
      </c>
      <c r="I71" s="57">
        <f>I69+I61+I53+I45+I36</f>
        <v>0</v>
      </c>
      <c r="J71" s="57">
        <f>J69+J61+J53+J45+J36</f>
        <v>0</v>
      </c>
      <c r="K71" s="57">
        <f>K69+K61+K53+K45+K36</f>
        <v>0</v>
      </c>
      <c r="L71" s="57">
        <f>L69+L61+L53+L45+L36</f>
        <v>0</v>
      </c>
      <c r="M71" s="26"/>
      <c r="N71" s="57">
        <f>N69+N61+N53+N45+N36</f>
        <v>0</v>
      </c>
      <c r="O71" s="57">
        <f>O69+O61+O53+O45+O36</f>
        <v>0</v>
      </c>
      <c r="P71" s="57">
        <f>P69+P61+P53+P45+P36</f>
        <v>0</v>
      </c>
      <c r="Q71" s="57">
        <f>Q69+Q61+Q53+Q45+Q36</f>
        <v>0</v>
      </c>
      <c r="R71" s="57">
        <f>R69+R61+R53+R45+R36</f>
        <v>0</v>
      </c>
      <c r="S71" s="7"/>
    </row>
    <row r="73" spans="1:19" ht="23.4" customHeight="1" x14ac:dyDescent="0.45">
      <c r="A73" s="167"/>
      <c r="B73" s="413" t="s">
        <v>159</v>
      </c>
      <c r="C73" s="397"/>
      <c r="D73" s="397"/>
      <c r="E73" s="397"/>
      <c r="F73" s="397"/>
      <c r="G73" s="397"/>
      <c r="H73" s="397"/>
      <c r="I73" s="397"/>
      <c r="J73" s="397"/>
      <c r="K73" s="397"/>
      <c r="L73" s="397"/>
      <c r="M73" s="397"/>
      <c r="N73" s="397"/>
      <c r="O73" s="397"/>
      <c r="P73" s="397"/>
      <c r="Q73" s="397"/>
      <c r="R73" s="397"/>
    </row>
    <row r="75" spans="1:19" ht="15.6" customHeight="1" x14ac:dyDescent="0.3">
      <c r="A75" s="28"/>
      <c r="B75" s="410" t="s">
        <v>160</v>
      </c>
      <c r="C75" s="397"/>
      <c r="D75" s="397"/>
      <c r="E75" s="397"/>
      <c r="F75" s="397"/>
      <c r="G75" s="167"/>
      <c r="H75" s="410" t="s">
        <v>161</v>
      </c>
      <c r="I75" s="397"/>
      <c r="J75" s="397"/>
      <c r="K75" s="397"/>
      <c r="L75" s="397"/>
      <c r="M75" s="167"/>
      <c r="N75" s="410" t="s">
        <v>162</v>
      </c>
      <c r="O75" s="397"/>
      <c r="P75" s="397"/>
      <c r="Q75" s="397"/>
      <c r="R75" s="397"/>
    </row>
    <row r="76" spans="1:19" x14ac:dyDescent="0.3">
      <c r="B76" s="45"/>
      <c r="C76" s="45"/>
      <c r="D76" s="45"/>
      <c r="E76" s="45"/>
      <c r="F76" s="45"/>
      <c r="H76" s="45"/>
      <c r="I76" s="45"/>
      <c r="J76" s="113"/>
      <c r="K76" s="45"/>
      <c r="L76" s="45"/>
      <c r="N76" s="45"/>
      <c r="O76" s="45"/>
      <c r="P76" s="45"/>
      <c r="Q76" s="45"/>
      <c r="R76" s="45"/>
    </row>
    <row r="77" spans="1:19" ht="15.6" customHeight="1" x14ac:dyDescent="0.3">
      <c r="A77" s="193" t="s">
        <v>122</v>
      </c>
      <c r="B77" s="288" t="str">
        <f>B3</f>
        <v>Year 1</v>
      </c>
      <c r="C77" s="288" t="str">
        <f>C3</f>
        <v>Year 2</v>
      </c>
      <c r="D77" s="288" t="str">
        <f>D3</f>
        <v>Year 3</v>
      </c>
      <c r="E77" s="288" t="str">
        <f>E3</f>
        <v>Year 4</v>
      </c>
      <c r="F77" s="288" t="str">
        <f>F3</f>
        <v>Year 5</v>
      </c>
      <c r="G77" s="163"/>
      <c r="H77" s="288" t="str">
        <f>H3</f>
        <v>Year 1</v>
      </c>
      <c r="I77" s="288" t="str">
        <f>I3</f>
        <v>Year 2</v>
      </c>
      <c r="J77" s="288" t="str">
        <f>J3</f>
        <v>Year 3</v>
      </c>
      <c r="K77" s="288" t="str">
        <f>K3</f>
        <v>Year 4</v>
      </c>
      <c r="L77" s="288" t="str">
        <f>L3</f>
        <v>Year 5</v>
      </c>
      <c r="M77" s="163"/>
      <c r="N77" s="288" t="str">
        <f>H77</f>
        <v>Year 1</v>
      </c>
      <c r="O77" s="288" t="str">
        <f>I77</f>
        <v>Year 2</v>
      </c>
      <c r="P77" s="288" t="str">
        <f>J77</f>
        <v>Year 3</v>
      </c>
      <c r="Q77" s="288" t="str">
        <f>K77</f>
        <v>Year 4</v>
      </c>
      <c r="R77" s="288" t="str">
        <f>L77</f>
        <v>Year 5</v>
      </c>
    </row>
    <row r="78" spans="1:19" ht="15.6" customHeight="1" x14ac:dyDescent="0.3">
      <c r="A78" s="154"/>
      <c r="B78" s="409" t="s">
        <v>104</v>
      </c>
      <c r="C78" s="397"/>
      <c r="D78" s="397"/>
      <c r="E78" s="397"/>
      <c r="F78" s="397"/>
      <c r="G78" s="397"/>
      <c r="H78" s="397"/>
      <c r="I78" s="397"/>
      <c r="J78" s="397"/>
      <c r="K78" s="397"/>
      <c r="L78" s="397"/>
      <c r="M78" s="397"/>
      <c r="N78" s="397"/>
      <c r="O78" s="397"/>
      <c r="P78" s="397"/>
      <c r="Q78" s="397"/>
      <c r="R78" s="397"/>
    </row>
    <row r="79" spans="1:19" x14ac:dyDescent="0.3">
      <c r="A79" s="294" t="str">
        <f>IF(Personnel!C5="Cost Share",Personnel!A5,"")</f>
        <v/>
      </c>
      <c r="B79" s="48">
        <f>ROUND(IF(Personnel!$C5&lt;&gt;"Cost Share",0,IF(Personnel!$D$2="No",(Personnel!F5/Personnel!$E5)*Personnel!$D5*Personnel!F$74,IF((Personnel!$D5*Personnel!F$74)&lt;Salary_Cap,(Personnel!F5/Personnel!$E5)*Personnel!$D5*Personnel!F$74,(Personnel!F5/Personnel!$E5)*Salary_Cap))),0)</f>
        <v>0</v>
      </c>
      <c r="C79" s="48">
        <f>ROUND(IF(Personnel!$C5&lt;&gt;"Cost Share",0,IF(Personnel!$D$2="No",(Personnel!G5/Personnel!$E5)*Personnel!$D5*Personnel!G$74,IF((Personnel!$D5*Personnel!G$74)&lt;Salary_Cap,(Personnel!G5/Personnel!$E5)*Personnel!$D5*Personnel!G$74,(Personnel!G5/Personnel!$E5)*Salary_Cap))),0)</f>
        <v>0</v>
      </c>
      <c r="D79" s="48">
        <f>ROUND(IF(Personnel!$C5&lt;&gt;"Cost Share",0,IF(Personnel!$D$2="No",(Personnel!H5/Personnel!$E5)*Personnel!$D5*Personnel!H$74,IF((Personnel!$D5*Personnel!H$74)&lt;Salary_Cap,(Personnel!H5/Personnel!$E5)*Personnel!$D5*Personnel!H$74,(Personnel!H5/Personnel!$E5)*Salary_Cap))),0)</f>
        <v>0</v>
      </c>
      <c r="E79" s="48">
        <f>ROUND(IF(Personnel!$C5&lt;&gt;"Cost Share",0,IF(Personnel!$D$2="No",(Personnel!I5/Personnel!$E5)*Personnel!$D5*Personnel!I$74,IF((Personnel!$D5*Personnel!I$74)&lt;Salary_Cap,(Personnel!I5/Personnel!$E5)*Personnel!$D5*Personnel!I$74,(Personnel!I5/Personnel!$E5)*Salary_Cap))),0)</f>
        <v>0</v>
      </c>
      <c r="F79" s="48">
        <f>ROUND(IF(Personnel!$C5&lt;&gt;"Cost Share",0,IF(Personnel!$D$2="No",(Personnel!J5/Personnel!$E5)*Personnel!$D5*Personnel!J$74,IF((Personnel!$D5*Personnel!J$74)&lt;Salary_Cap,(Personnel!J5/Personnel!$E5)*Personnel!$D5*Personnel!J$74,(Personnel!J5/Personnel!$E5)*Salary_Cap))),0)</f>
        <v>0</v>
      </c>
      <c r="H79" s="48">
        <f>ROUND(B79*'Rate Table'!$E$3,0)</f>
        <v>0</v>
      </c>
      <c r="I79" s="48">
        <f>ROUND(C79*'Rate Table'!$E$3,0)</f>
        <v>0</v>
      </c>
      <c r="J79" s="48">
        <f>ROUND(D79*'Rate Table'!$E$3,0)</f>
        <v>0</v>
      </c>
      <c r="K79" s="48">
        <f>ROUND(E79*'Rate Table'!$E$3,0)</f>
        <v>0</v>
      </c>
      <c r="L79" s="48">
        <f>ROUND(F79*'Rate Table'!$E$3,0)</f>
        <v>0</v>
      </c>
      <c r="M79" s="49"/>
      <c r="N79" s="48">
        <f>IF($B79&gt;0,2080*'FTE Table'!B76,0)</f>
        <v>0</v>
      </c>
      <c r="O79" s="48">
        <f>IF($B79&gt;0,2080*'FTE Table'!C76,0)</f>
        <v>0</v>
      </c>
      <c r="P79" s="48">
        <f>IF($B79&gt;0,2080*'FTE Table'!D76,0)</f>
        <v>0</v>
      </c>
      <c r="Q79" s="48">
        <f>IF($B79&gt;0,2080*'FTE Table'!E76,0)</f>
        <v>0</v>
      </c>
      <c r="R79" s="48">
        <f>IF($B79&gt;0,2080*'FTE Table'!F76,0)</f>
        <v>0</v>
      </c>
    </row>
    <row r="80" spans="1:19" x14ac:dyDescent="0.3">
      <c r="A80" s="294" t="str">
        <f>IF(Personnel!C6="Cost Share",Personnel!A6,"")</f>
        <v/>
      </c>
      <c r="B80" s="48">
        <f>ROUND(IF(Personnel!$C6&lt;&gt;"Cost Share",0,IF(Personnel!$D$2="No",(Personnel!F6/Personnel!$E6)*Personnel!$D6*Personnel!F$74,IF((Personnel!$D6*Personnel!F$74)&lt;Salary_Cap,(Personnel!F6/Personnel!$E6)*Personnel!$D6*Personnel!F$74,(Personnel!F6/Personnel!$E6)*Salary_Cap))),0)</f>
        <v>0</v>
      </c>
      <c r="C80" s="48">
        <f>ROUND(IF(Personnel!$C6&lt;&gt;"Cost Share",0,IF(Personnel!$D$2="No",(Personnel!G6/Personnel!$E6)*Personnel!$D6*Personnel!G$74,IF((Personnel!$D6*Personnel!G$74)&lt;Salary_Cap,(Personnel!G6/Personnel!$E6)*Personnel!$D6*Personnel!G$74,(Personnel!G6/Personnel!$E6)*Salary_Cap))),0)</f>
        <v>0</v>
      </c>
      <c r="D80" s="48">
        <f>ROUND(IF(Personnel!$C6&lt;&gt;"Cost Share",0,IF(Personnel!$D$2="No",(Personnel!H6/Personnel!$E6)*Personnel!$D6*Personnel!H$74,IF((Personnel!$D6*Personnel!H$74)&lt;Salary_Cap,(Personnel!H6/Personnel!$E6)*Personnel!$D6*Personnel!H$74,(Personnel!H6/Personnel!$E6)*Salary_Cap))),0)</f>
        <v>0</v>
      </c>
      <c r="E80" s="48">
        <f>ROUND(IF(Personnel!$C6&lt;&gt;"Cost Share",0,IF(Personnel!$D$2="No",(Personnel!I6/Personnel!$E6)*Personnel!$D6*Personnel!I$74,IF((Personnel!$D6*Personnel!I$74)&lt;Salary_Cap,(Personnel!I6/Personnel!$E6)*Personnel!$D6*Personnel!I$74,(Personnel!I6/Personnel!$E6)*Salary_Cap))),0)</f>
        <v>0</v>
      </c>
      <c r="F80" s="48">
        <f>ROUND(IF(Personnel!$C6&lt;&gt;"Cost Share",0,IF(Personnel!$D$2="No",(Personnel!J6/Personnel!$E6)*Personnel!$D6*Personnel!J$74,IF((Personnel!$D6*Personnel!J$74)&lt;Salary_Cap,(Personnel!J6/Personnel!$E6)*Personnel!$D6*Personnel!J$74,(Personnel!J6/Personnel!$E6)*Salary_Cap))),0)</f>
        <v>0</v>
      </c>
      <c r="H80" s="48">
        <f>ROUND(B80*'Rate Table'!$E$3,0)</f>
        <v>0</v>
      </c>
      <c r="I80" s="48">
        <f>ROUND(C80*'Rate Table'!$E$3,0)</f>
        <v>0</v>
      </c>
      <c r="J80" s="48">
        <f>ROUND(D80*'Rate Table'!$E$3,0)</f>
        <v>0</v>
      </c>
      <c r="K80" s="48">
        <f>ROUND(E80*'Rate Table'!$E$3,0)</f>
        <v>0</v>
      </c>
      <c r="L80" s="48">
        <f>ROUND(F80*'Rate Table'!$E$3,0)</f>
        <v>0</v>
      </c>
      <c r="M80" s="49"/>
      <c r="N80" s="48">
        <f>IF($B80&gt;0,2080*'FTE Table'!B77,0)</f>
        <v>0</v>
      </c>
      <c r="O80" s="48">
        <f>IF($B80&gt;0,2080*'FTE Table'!C77,0)</f>
        <v>0</v>
      </c>
      <c r="P80" s="48">
        <f>IF($B80&gt;0,2080*'FTE Table'!D77,0)</f>
        <v>0</v>
      </c>
      <c r="Q80" s="48">
        <f>IF($B80&gt;0,2080*'FTE Table'!E77,0)</f>
        <v>0</v>
      </c>
      <c r="R80" s="48">
        <f>IF($B80&gt;0,2080*'FTE Table'!F77,0)</f>
        <v>0</v>
      </c>
    </row>
    <row r="81" spans="1:18" x14ac:dyDescent="0.3">
      <c r="A81" s="294" t="str">
        <f>IF(Personnel!C7="Cost Share",Personnel!A7,"")</f>
        <v/>
      </c>
      <c r="B81" s="48">
        <f>ROUND(IF(Personnel!$C7&lt;&gt;"Cost Share",0,IF(Personnel!$D$2="No",(Personnel!F7/Personnel!$E7)*Personnel!$D7*Personnel!F$74,IF((Personnel!$D7*Personnel!F$74)&lt;Salary_Cap,(Personnel!F7/Personnel!$E7)*Personnel!$D7*Personnel!F$74,(Personnel!F7/Personnel!$E7)*Salary_Cap))),0)</f>
        <v>0</v>
      </c>
      <c r="C81" s="48">
        <f>ROUND(IF(Personnel!$C7&lt;&gt;"Cost Share",0,IF(Personnel!$D$2="No",(Personnel!G7/Personnel!$E7)*Personnel!$D7*Personnel!G$74,IF((Personnel!$D7*Personnel!G$74)&lt;Salary_Cap,(Personnel!G7/Personnel!$E7)*Personnel!$D7*Personnel!G$74,(Personnel!G7/Personnel!$E7)*Salary_Cap))),0)</f>
        <v>0</v>
      </c>
      <c r="D81" s="48">
        <f>ROUND(IF(Personnel!$C7&lt;&gt;"Cost Share",0,IF(Personnel!$D$2="No",(Personnel!H7/Personnel!$E7)*Personnel!$D7*Personnel!H$74,IF((Personnel!$D7*Personnel!H$74)&lt;Salary_Cap,(Personnel!H7/Personnel!$E7)*Personnel!$D7*Personnel!H$74,(Personnel!H7/Personnel!$E7)*Salary_Cap))),0)</f>
        <v>0</v>
      </c>
      <c r="E81" s="48">
        <f>ROUND(IF(Personnel!$C7&lt;&gt;"Cost Share",0,IF(Personnel!$D$2="No",(Personnel!I7/Personnel!$E7)*Personnel!$D7*Personnel!I$74,IF((Personnel!$D7*Personnel!I$74)&lt;Salary_Cap,(Personnel!I7/Personnel!$E7)*Personnel!$D7*Personnel!I$74,(Personnel!I7/Personnel!$E7)*Salary_Cap))),0)</f>
        <v>0</v>
      </c>
      <c r="F81" s="48">
        <f>ROUND(IF(Personnel!$C7&lt;&gt;"Cost Share",0,IF(Personnel!$D$2="No",(Personnel!J7/Personnel!$E7)*Personnel!$D7*Personnel!J$74,IF((Personnel!$D7*Personnel!J$74)&lt;Salary_Cap,(Personnel!J7/Personnel!$E7)*Personnel!$D7*Personnel!J$74,(Personnel!J7/Personnel!$E7)*Salary_Cap))),0)</f>
        <v>0</v>
      </c>
      <c r="H81" s="48">
        <f>ROUND(B81*'Rate Table'!$E$3,0)</f>
        <v>0</v>
      </c>
      <c r="I81" s="48">
        <f>ROUND(C81*'Rate Table'!$E$3,0)</f>
        <v>0</v>
      </c>
      <c r="J81" s="48">
        <f>ROUND(D81*'Rate Table'!$E$3,0)</f>
        <v>0</v>
      </c>
      <c r="K81" s="48">
        <f>ROUND(E81*'Rate Table'!$E$3,0)</f>
        <v>0</v>
      </c>
      <c r="L81" s="48">
        <f>ROUND(F81*'Rate Table'!$E$3,0)</f>
        <v>0</v>
      </c>
      <c r="M81" s="49"/>
      <c r="N81" s="48">
        <f>IF($B81&gt;0,2080*'FTE Table'!B78,0)</f>
        <v>0</v>
      </c>
      <c r="O81" s="48">
        <f>IF($B81&gt;0,2080*'FTE Table'!C78,0)</f>
        <v>0</v>
      </c>
      <c r="P81" s="48">
        <f>IF($B81&gt;0,2080*'FTE Table'!D78,0)</f>
        <v>0</v>
      </c>
      <c r="Q81" s="48">
        <f>IF($B81&gt;0,2080*'FTE Table'!E78,0)</f>
        <v>0</v>
      </c>
      <c r="R81" s="48">
        <f>IF($B81&gt;0,2080*'FTE Table'!F78,0)</f>
        <v>0</v>
      </c>
    </row>
    <row r="82" spans="1:18" x14ac:dyDescent="0.3">
      <c r="A82" s="294" t="str">
        <f>IF(Personnel!C8="Cost Share",Personnel!A8,"")</f>
        <v/>
      </c>
      <c r="B82" s="48">
        <f>ROUND(IF(Personnel!$C8&lt;&gt;"Cost Share",0,IF(Personnel!$D$2="No",(Personnel!F8/Personnel!$E8)*Personnel!$D8*Personnel!F$74,IF((Personnel!$D8*Personnel!F$74)&lt;Salary_Cap,(Personnel!F8/Personnel!$E8)*Personnel!$D8*Personnel!F$74,(Personnel!F8/Personnel!$E8)*Salary_Cap))),0)</f>
        <v>0</v>
      </c>
      <c r="C82" s="48">
        <f>ROUND(IF(Personnel!$C8&lt;&gt;"Cost Share",0,IF(Personnel!$D$2="No",(Personnel!G8/Personnel!$E8)*Personnel!$D8*Personnel!G$74,IF((Personnel!$D8*Personnel!G$74)&lt;Salary_Cap,(Personnel!G8/Personnel!$E8)*Personnel!$D8*Personnel!G$74,(Personnel!G8/Personnel!$E8)*Salary_Cap))),0)</f>
        <v>0</v>
      </c>
      <c r="D82" s="48">
        <f>ROUND(IF(Personnel!$C8&lt;&gt;"Cost Share",0,IF(Personnel!$D$2="No",(Personnel!H8/Personnel!$E8)*Personnel!$D8*Personnel!H$74,IF((Personnel!$D8*Personnel!H$74)&lt;Salary_Cap,(Personnel!H8/Personnel!$E8)*Personnel!$D8*Personnel!H$74,(Personnel!H8/Personnel!$E8)*Salary_Cap))),0)</f>
        <v>0</v>
      </c>
      <c r="E82" s="48">
        <f>ROUND(IF(Personnel!$C8&lt;&gt;"Cost Share",0,IF(Personnel!$D$2="No",(Personnel!I8/Personnel!$E8)*Personnel!$D8*Personnel!I$74,IF((Personnel!$D8*Personnel!I$74)&lt;Salary_Cap,(Personnel!I8/Personnel!$E8)*Personnel!$D8*Personnel!I$74,(Personnel!I8/Personnel!$E8)*Salary_Cap))),0)</f>
        <v>0</v>
      </c>
      <c r="F82" s="48">
        <f>ROUND(IF(Personnel!$C8&lt;&gt;"Cost Share",0,IF(Personnel!$D$2="No",(Personnel!J8/Personnel!$E8)*Personnel!$D8*Personnel!J$74,IF((Personnel!$D8*Personnel!J$74)&lt;Salary_Cap,(Personnel!J8/Personnel!$E8)*Personnel!$D8*Personnel!J$74,(Personnel!J8/Personnel!$E8)*Salary_Cap))),0)</f>
        <v>0</v>
      </c>
      <c r="H82" s="48">
        <f>ROUND(B82*'Rate Table'!$E$3,0)</f>
        <v>0</v>
      </c>
      <c r="I82" s="48">
        <f>ROUND(C82*'Rate Table'!$E$3,0)</f>
        <v>0</v>
      </c>
      <c r="J82" s="48">
        <f>ROUND(D82*'Rate Table'!$E$3,0)</f>
        <v>0</v>
      </c>
      <c r="K82" s="48">
        <f>ROUND(E82*'Rate Table'!$E$3,0)</f>
        <v>0</v>
      </c>
      <c r="L82" s="48">
        <f>ROUND(F82*'Rate Table'!$E$3,0)</f>
        <v>0</v>
      </c>
      <c r="M82" s="49"/>
      <c r="N82" s="48">
        <f>IF($B82&gt;0,2080*'FTE Table'!B79,0)</f>
        <v>0</v>
      </c>
      <c r="O82" s="48">
        <f>IF($B82&gt;0,2080*'FTE Table'!C79,0)</f>
        <v>0</v>
      </c>
      <c r="P82" s="48">
        <f>IF($B82&gt;0,2080*'FTE Table'!D79,0)</f>
        <v>0</v>
      </c>
      <c r="Q82" s="48">
        <f>IF($B82&gt;0,2080*'FTE Table'!E79,0)</f>
        <v>0</v>
      </c>
      <c r="R82" s="48">
        <f>IF($B82&gt;0,2080*'FTE Table'!F79,0)</f>
        <v>0</v>
      </c>
    </row>
    <row r="83" spans="1:18" x14ac:dyDescent="0.3">
      <c r="A83" s="294" t="str">
        <f>IF(Personnel!C9="Cost Share",Personnel!A9,"")</f>
        <v/>
      </c>
      <c r="B83" s="48">
        <f>ROUND(IF(Personnel!$C9&lt;&gt;"Cost Share",0,IF(Personnel!$D$2="No",(Personnel!F9/Personnel!$E9)*Personnel!$D9*Personnel!F$74,IF((Personnel!$D9*Personnel!F$74)&lt;Salary_Cap,(Personnel!F9/Personnel!$E9)*Personnel!$D9*Personnel!F$74,(Personnel!F9/Personnel!$E9)*Salary_Cap))),0)</f>
        <v>0</v>
      </c>
      <c r="C83" s="48">
        <f>ROUND(IF(Personnel!$C9&lt;&gt;"Cost Share",0,IF(Personnel!$D$2="No",(Personnel!G9/Personnel!$E9)*Personnel!$D9*Personnel!G$74,IF((Personnel!$D9*Personnel!G$74)&lt;Salary_Cap,(Personnel!G9/Personnel!$E9)*Personnel!$D9*Personnel!G$74,(Personnel!G9/Personnel!$E9)*Salary_Cap))),0)</f>
        <v>0</v>
      </c>
      <c r="D83" s="48">
        <f>ROUND(IF(Personnel!$C9&lt;&gt;"Cost Share",0,IF(Personnel!$D$2="No",(Personnel!H9/Personnel!$E9)*Personnel!$D9*Personnel!H$74,IF((Personnel!$D9*Personnel!H$74)&lt;Salary_Cap,(Personnel!H9/Personnel!$E9)*Personnel!$D9*Personnel!H$74,(Personnel!H9/Personnel!$E9)*Salary_Cap))),0)</f>
        <v>0</v>
      </c>
      <c r="E83" s="48">
        <f>ROUND(IF(Personnel!$C9&lt;&gt;"Cost Share",0,IF(Personnel!$D$2="No",(Personnel!I9/Personnel!$E9)*Personnel!$D9*Personnel!I$74,IF((Personnel!$D9*Personnel!I$74)&lt;Salary_Cap,(Personnel!I9/Personnel!$E9)*Personnel!$D9*Personnel!I$74,(Personnel!I9/Personnel!$E9)*Salary_Cap))),0)</f>
        <v>0</v>
      </c>
      <c r="F83" s="48">
        <f>ROUND(IF(Personnel!$C9&lt;&gt;"Cost Share",0,IF(Personnel!$D$2="No",(Personnel!J9/Personnel!$E9)*Personnel!$D9*Personnel!J$74,IF((Personnel!$D9*Personnel!J$74)&lt;Salary_Cap,(Personnel!J9/Personnel!$E9)*Personnel!$D9*Personnel!J$74,(Personnel!J9/Personnel!$E9)*Salary_Cap))),0)</f>
        <v>0</v>
      </c>
      <c r="H83" s="48">
        <f>ROUND(B83*'Rate Table'!$E$3,0)</f>
        <v>0</v>
      </c>
      <c r="I83" s="48">
        <f>ROUND(C83*'Rate Table'!$E$3,0)</f>
        <v>0</v>
      </c>
      <c r="J83" s="48">
        <f>ROUND(D83*'Rate Table'!$E$3,0)</f>
        <v>0</v>
      </c>
      <c r="K83" s="48">
        <f>ROUND(E83*'Rate Table'!$E$3,0)</f>
        <v>0</v>
      </c>
      <c r="L83" s="48">
        <f>ROUND(F83*'Rate Table'!$E$3,0)</f>
        <v>0</v>
      </c>
      <c r="M83" s="49"/>
      <c r="N83" s="48">
        <f>IF($B83&gt;0,2080*'FTE Table'!B80,0)</f>
        <v>0</v>
      </c>
      <c r="O83" s="48">
        <f>IF($B83&gt;0,2080*'FTE Table'!C80,0)</f>
        <v>0</v>
      </c>
      <c r="P83" s="48">
        <f>IF($B83&gt;0,2080*'FTE Table'!D80,0)</f>
        <v>0</v>
      </c>
      <c r="Q83" s="48">
        <f>IF($B83&gt;0,2080*'FTE Table'!E80,0)</f>
        <v>0</v>
      </c>
      <c r="R83" s="48">
        <f>IF($B83&gt;0,2080*'FTE Table'!F80,0)</f>
        <v>0</v>
      </c>
    </row>
    <row r="84" spans="1:18" x14ac:dyDescent="0.3">
      <c r="A84" s="161" t="s">
        <v>152</v>
      </c>
      <c r="B84" s="162">
        <f>ROUND(SUM(B79:B83),0)</f>
        <v>0</v>
      </c>
      <c r="C84" s="162">
        <f>ROUND(SUM(C79:C83),0)</f>
        <v>0</v>
      </c>
      <c r="D84" s="162">
        <f>ROUND(SUM(D79:D83),0)</f>
        <v>0</v>
      </c>
      <c r="E84" s="162">
        <f>ROUND(SUM(E79:E83),0)</f>
        <v>0</v>
      </c>
      <c r="F84" s="162">
        <f>ROUND(SUM(F79:F83),0)</f>
        <v>0</v>
      </c>
      <c r="G84" s="162"/>
      <c r="H84" s="162">
        <f>ROUND(SUM(H79:H83),0)</f>
        <v>0</v>
      </c>
      <c r="I84" s="162">
        <f>ROUND(SUM(I79:I83),0)</f>
        <v>0</v>
      </c>
      <c r="J84" s="162">
        <f>ROUND(SUM(J79:J83),0)</f>
        <v>0</v>
      </c>
      <c r="K84" s="162">
        <f>ROUND(SUM(K79:K83),0)</f>
        <v>0</v>
      </c>
      <c r="L84" s="162">
        <f>ROUND(SUM(L79:L83),0)</f>
        <v>0</v>
      </c>
      <c r="M84" s="162"/>
      <c r="N84" s="162">
        <f>SUM(N79:N83)</f>
        <v>0</v>
      </c>
      <c r="O84" s="162">
        <f>SUM(O79:O83)</f>
        <v>0</v>
      </c>
      <c r="P84" s="162">
        <f>SUM(P79:P83)</f>
        <v>0</v>
      </c>
      <c r="Q84" s="162">
        <f>SUM(Q79:Q83)</f>
        <v>0</v>
      </c>
      <c r="R84" s="162">
        <f>SUM(R79:R83)</f>
        <v>0</v>
      </c>
    </row>
    <row r="85" spans="1:18" ht="15.6" customHeight="1" x14ac:dyDescent="0.3">
      <c r="A85" s="54"/>
      <c r="B85" s="411" t="s">
        <v>53</v>
      </c>
      <c r="C85" s="397"/>
      <c r="D85" s="397"/>
      <c r="E85" s="397"/>
      <c r="F85" s="397"/>
      <c r="G85" s="397"/>
      <c r="H85" s="397"/>
      <c r="I85" s="397"/>
      <c r="J85" s="397"/>
      <c r="K85" s="397"/>
      <c r="L85" s="397"/>
      <c r="M85" s="397"/>
      <c r="N85" s="397"/>
      <c r="O85" s="397"/>
      <c r="P85" s="397"/>
      <c r="Q85" s="397"/>
      <c r="R85" s="397"/>
    </row>
    <row r="86" spans="1:18" x14ac:dyDescent="0.3">
      <c r="A86" s="185" t="str">
        <f>IF(Personnel!C38="Cost Share",Personnel!A38,"")</f>
        <v/>
      </c>
      <c r="B86" s="48">
        <f>ROUND(IF(Personnel!$C38&lt;&gt;"Cost Share",0,IF(Personnel!$D$2="No",(Personnel!F38/12)*Personnel!$D38*Personnel!F$74,IF((Personnel!$D38*Personnel!F$74)&lt;Salary_Cap,(Personnel!F38/12)*Personnel!$D38*Personnel!F$74,(Personnel!F38/12)*Salary_Cap))),0)</f>
        <v>0</v>
      </c>
      <c r="C86" s="48">
        <f>ROUND(IF(Personnel!$C38&lt;&gt;"Cost Share",0,IF(Personnel!$D$2="No",(Personnel!G38/12)*Personnel!$D38*Personnel!G$74,IF((Personnel!$D38*Personnel!G$74)&lt;Salary_Cap,(Personnel!G38/12)*Personnel!$D38*Personnel!G$74,(Personnel!G38/12)*Salary_Cap))),0)</f>
        <v>0</v>
      </c>
      <c r="D86" s="48">
        <f>ROUND(IF(Personnel!$C38&lt;&gt;"Cost Share",0,IF(Personnel!$D$2="No",(Personnel!H38/12)*Personnel!$D38*Personnel!H$74,IF((Personnel!$D38*Personnel!H$74)&lt;Salary_Cap,(Personnel!H38/12)*Personnel!$D38*Personnel!H$74,(Personnel!H38/12)*Salary_Cap))),0)</f>
        <v>0</v>
      </c>
      <c r="E86" s="48">
        <f>ROUND(IF(Personnel!$C38&lt;&gt;"Cost Share",0,IF(Personnel!$D$2="No",(Personnel!I38/12)*Personnel!$D38*Personnel!I$74,IF((Personnel!$D38*Personnel!I$74)&lt;Salary_Cap,(Personnel!I38/12)*Personnel!$D38*Personnel!I$74,(Personnel!I38/12)*Salary_Cap))),0)</f>
        <v>0</v>
      </c>
      <c r="F86" s="48">
        <f>ROUND(IF(Personnel!$C38&lt;&gt;"Cost Share",0,IF(Personnel!$D$2="No",(Personnel!J38/12)*Personnel!$D38*Personnel!J$74,IF((Personnel!$D38*Personnel!J$74)&lt;Salary_Cap,(Personnel!J38/12)*Personnel!$D38*Personnel!J$74,(Personnel!J38/12)*Salary_Cap))),0)</f>
        <v>0</v>
      </c>
      <c r="H86" s="48">
        <f>ROUND(B86*'Rate Table'!$E$4,0)</f>
        <v>0</v>
      </c>
      <c r="I86" s="48">
        <f>ROUND(C86*'Rate Table'!$E$4,0)</f>
        <v>0</v>
      </c>
      <c r="J86" s="48">
        <f>ROUND(D86*'Rate Table'!$E$4,0)</f>
        <v>0</v>
      </c>
      <c r="K86" s="48">
        <f>ROUND(E86*'Rate Table'!$E$4,0)</f>
        <v>0</v>
      </c>
      <c r="L86" s="48">
        <f>ROUND(F86*'Rate Table'!$E$4,0)</f>
        <v>0</v>
      </c>
      <c r="M86" s="49"/>
      <c r="N86" s="48">
        <f>IF($B86&gt;0,2080*'FTE Table'!B84,0)</f>
        <v>0</v>
      </c>
      <c r="O86" s="48">
        <f>IF($B86&gt;0,2080*'FTE Table'!C84,0)</f>
        <v>0</v>
      </c>
      <c r="P86" s="48">
        <f>IF($B86&gt;0,2080*'FTE Table'!D84,0)</f>
        <v>0</v>
      </c>
      <c r="Q86" s="48">
        <f>IF($B86&gt;0,2080*'FTE Table'!E84,0)</f>
        <v>0</v>
      </c>
      <c r="R86" s="48">
        <f>IF($B86&gt;0,2080*'FTE Table'!F84,0)</f>
        <v>0</v>
      </c>
    </row>
    <row r="87" spans="1:18" x14ac:dyDescent="0.3">
      <c r="A87" s="185" t="str">
        <f>IF(Personnel!C39="Cost Share",Personnel!A39,"")</f>
        <v/>
      </c>
      <c r="B87" s="48">
        <f>ROUND(IF(Personnel!$C39&lt;&gt;"Cost Share",0,IF(Personnel!$D$2="No",(Personnel!F39/12)*Personnel!$D39*Personnel!F$74,IF((Personnel!$D39*Personnel!F$74)&lt;Salary_Cap,(Personnel!F39/12)*Personnel!$D39*Personnel!F$74,(Personnel!F39/12)*Salary_Cap))),0)</f>
        <v>0</v>
      </c>
      <c r="C87" s="48">
        <f>ROUND(IF(Personnel!$C39&lt;&gt;"Cost Share",0,IF(Personnel!$D$2="No",(Personnel!G39/12)*Personnel!$D39*Personnel!G$74,IF((Personnel!$D39*Personnel!G$74)&lt;Salary_Cap,(Personnel!G39/12)*Personnel!$D39*Personnel!G$74,(Personnel!G39/12)*Salary_Cap))),0)</f>
        <v>0</v>
      </c>
      <c r="D87" s="48">
        <f>ROUND(IF(Personnel!$C39&lt;&gt;"Cost Share",0,IF(Personnel!$D$2="No",(Personnel!H39/12)*Personnel!$D39*Personnel!H$74,IF((Personnel!$D39*Personnel!H$74)&lt;Salary_Cap,(Personnel!H39/12)*Personnel!$D39*Personnel!H$74,(Personnel!H39/12)*Salary_Cap))),0)</f>
        <v>0</v>
      </c>
      <c r="E87" s="48">
        <f>ROUND(IF(Personnel!$C39&lt;&gt;"Cost Share",0,IF(Personnel!$D$2="No",(Personnel!I39/12)*Personnel!$D39*Personnel!I$74,IF((Personnel!$D39*Personnel!I$74)&lt;Salary_Cap,(Personnel!I39/12)*Personnel!$D39*Personnel!I$74,(Personnel!I39/12)*Salary_Cap))),0)</f>
        <v>0</v>
      </c>
      <c r="F87" s="48">
        <f>ROUND(IF(Personnel!$C39&lt;&gt;"Cost Share",0,IF(Personnel!$D$2="No",(Personnel!J39/12)*Personnel!$D39*Personnel!J$74,IF((Personnel!$D39*Personnel!J$74)&lt;Salary_Cap,(Personnel!J39/12)*Personnel!$D39*Personnel!J$74,(Personnel!J39/12)*Salary_Cap))),0)</f>
        <v>0</v>
      </c>
      <c r="H87" s="48">
        <f>ROUND(B87*'Rate Table'!$E$4,0)</f>
        <v>0</v>
      </c>
      <c r="I87" s="48">
        <f>ROUND(C87*'Rate Table'!$E$4,0)</f>
        <v>0</v>
      </c>
      <c r="J87" s="48">
        <f>ROUND(D87*'Rate Table'!$E$4,0)</f>
        <v>0</v>
      </c>
      <c r="K87" s="48">
        <f>ROUND(E87*'Rate Table'!$E$4,0)</f>
        <v>0</v>
      </c>
      <c r="L87" s="48">
        <f>ROUND(F87*'Rate Table'!$E$4,0)</f>
        <v>0</v>
      </c>
      <c r="M87" s="49"/>
      <c r="N87" s="48">
        <f>IF($B87&gt;0,2080*'FTE Table'!B85,0)</f>
        <v>0</v>
      </c>
      <c r="O87" s="48">
        <f>IF($B87&gt;0,2080*'FTE Table'!C85,0)</f>
        <v>0</v>
      </c>
      <c r="P87" s="48">
        <f>IF($B87&gt;0,2080*'FTE Table'!D85,0)</f>
        <v>0</v>
      </c>
      <c r="Q87" s="48">
        <f>IF($B87&gt;0,2080*'FTE Table'!E85,0)</f>
        <v>0</v>
      </c>
      <c r="R87" s="48">
        <f>IF($B87&gt;0,2080*'FTE Table'!F85,0)</f>
        <v>0</v>
      </c>
    </row>
    <row r="88" spans="1:18" x14ac:dyDescent="0.3">
      <c r="A88" s="185" t="str">
        <f>IF(Personnel!C40="Cost Share",Personnel!A40,"")</f>
        <v/>
      </c>
      <c r="B88" s="48">
        <f>ROUND(IF(Personnel!$C40&lt;&gt;"Cost Share",0,IF(Personnel!$D$2="No",(Personnel!F40/12)*Personnel!$D40*Personnel!F$74,IF((Personnel!$D40*Personnel!F$74)&lt;Salary_Cap,(Personnel!F40/12)*Personnel!$D40*Personnel!F$74,(Personnel!F40/12)*Salary_Cap))),0)</f>
        <v>0</v>
      </c>
      <c r="C88" s="48">
        <f>ROUND(IF(Personnel!$C40&lt;&gt;"Cost Share",0,IF(Personnel!$D$2="No",(Personnel!G40/12)*Personnel!$D40*Personnel!G$74,IF((Personnel!$D40*Personnel!G$74)&lt;Salary_Cap,(Personnel!G40/12)*Personnel!$D40*Personnel!G$74,(Personnel!G40/12)*Salary_Cap))),0)</f>
        <v>0</v>
      </c>
      <c r="D88" s="48">
        <f>ROUND(IF(Personnel!$C40&lt;&gt;"Cost Share",0,IF(Personnel!$D$2="No",(Personnel!H40/12)*Personnel!$D40*Personnel!H$74,IF((Personnel!$D40*Personnel!H$74)&lt;Salary_Cap,(Personnel!H40/12)*Personnel!$D40*Personnel!H$74,(Personnel!H40/12)*Salary_Cap))),0)</f>
        <v>0</v>
      </c>
      <c r="E88" s="48">
        <f>ROUND(IF(Personnel!$C40&lt;&gt;"Cost Share",0,IF(Personnel!$D$2="No",(Personnel!I40/12)*Personnel!$D40*Personnel!I$74,IF((Personnel!$D40*Personnel!I$74)&lt;Salary_Cap,(Personnel!I40/12)*Personnel!$D40*Personnel!I$74,(Personnel!I40/12)*Salary_Cap))),0)</f>
        <v>0</v>
      </c>
      <c r="F88" s="48">
        <f>ROUND(IF(Personnel!$C40&lt;&gt;"Cost Share",0,IF(Personnel!$D$2="No",(Personnel!J40/12)*Personnel!$D40*Personnel!J$74,IF((Personnel!$D40*Personnel!J$74)&lt;Salary_Cap,(Personnel!J40/12)*Personnel!$D40*Personnel!J$74,(Personnel!J40/12)*Salary_Cap))),0)</f>
        <v>0</v>
      </c>
      <c r="H88" s="48">
        <f>ROUND(B88*'Rate Table'!$E$4,0)</f>
        <v>0</v>
      </c>
      <c r="I88" s="48">
        <f>ROUND(C88*'Rate Table'!$E$4,0)</f>
        <v>0</v>
      </c>
      <c r="J88" s="48">
        <f>ROUND(D88*'Rate Table'!$E$4,0)</f>
        <v>0</v>
      </c>
      <c r="K88" s="48">
        <f>ROUND(E88*'Rate Table'!$E$4,0)</f>
        <v>0</v>
      </c>
      <c r="L88" s="48">
        <f>ROUND(F88*'Rate Table'!$E$4,0)</f>
        <v>0</v>
      </c>
      <c r="M88" s="49"/>
      <c r="N88" s="48">
        <f>IF($B88&gt;0,2080*'FTE Table'!B86,0)</f>
        <v>0</v>
      </c>
      <c r="O88" s="48">
        <f>IF($B88&gt;0,2080*'FTE Table'!C86,0)</f>
        <v>0</v>
      </c>
      <c r="P88" s="48">
        <f>IF($B88&gt;0,2080*'FTE Table'!D86,0)</f>
        <v>0</v>
      </c>
      <c r="Q88" s="48">
        <f>IF($B88&gt;0,2080*'FTE Table'!E86,0)</f>
        <v>0</v>
      </c>
      <c r="R88" s="48">
        <f>IF($B88&gt;0,2080*'FTE Table'!F86,0)</f>
        <v>0</v>
      </c>
    </row>
    <row r="89" spans="1:18" x14ac:dyDescent="0.3">
      <c r="A89" s="185" t="str">
        <f>IF(Personnel!C41="Cost Share",Personnel!A41,"")</f>
        <v/>
      </c>
      <c r="B89" s="48">
        <f>ROUND(IF(Personnel!$C41&lt;&gt;"Cost Share",0,IF(Personnel!$D$2="No",(Personnel!F41/12)*Personnel!$D41*Personnel!F$74,IF((Personnel!$D41*Personnel!F$74)&lt;Salary_Cap,(Personnel!F41/12)*Personnel!$D41*Personnel!F$74,(Personnel!F41/12)*Salary_Cap))),0)</f>
        <v>0</v>
      </c>
      <c r="C89" s="48">
        <f>ROUND(IF(Personnel!$C41&lt;&gt;"Cost Share",0,IF(Personnel!$D$2="No",(Personnel!G41/12)*Personnel!$D41*Personnel!G$74,IF((Personnel!$D41*Personnel!G$74)&lt;Salary_Cap,(Personnel!G41/12)*Personnel!$D41*Personnel!G$74,(Personnel!G41/12)*Salary_Cap))),0)</f>
        <v>0</v>
      </c>
      <c r="D89" s="48">
        <f>ROUND(IF(Personnel!$C41&lt;&gt;"Cost Share",0,IF(Personnel!$D$2="No",(Personnel!H41/12)*Personnel!$D41*Personnel!H$74,IF((Personnel!$D41*Personnel!H$74)&lt;Salary_Cap,(Personnel!H41/12)*Personnel!$D41*Personnel!H$74,(Personnel!H41/12)*Salary_Cap))),0)</f>
        <v>0</v>
      </c>
      <c r="E89" s="48">
        <f>ROUND(IF(Personnel!$C41&lt;&gt;"Cost Share",0,IF(Personnel!$D$2="No",(Personnel!I41/12)*Personnel!$D41*Personnel!I$74,IF((Personnel!$D41*Personnel!I$74)&lt;Salary_Cap,(Personnel!I41/12)*Personnel!$D41*Personnel!I$74,(Personnel!I41/12)*Salary_Cap))),0)</f>
        <v>0</v>
      </c>
      <c r="F89" s="48">
        <f>ROUND(IF(Personnel!$C41&lt;&gt;"Cost Share",0,IF(Personnel!$D$2="No",(Personnel!J41/12)*Personnel!$D41*Personnel!J$74,IF((Personnel!$D41*Personnel!J$74)&lt;Salary_Cap,(Personnel!J41/12)*Personnel!$D41*Personnel!J$74,(Personnel!J41/12)*Salary_Cap))),0)</f>
        <v>0</v>
      </c>
      <c r="H89" s="48">
        <f>ROUND(B89*'Rate Table'!$E$4,0)</f>
        <v>0</v>
      </c>
      <c r="I89" s="48">
        <f>ROUND(C89*'Rate Table'!$E$4,0)</f>
        <v>0</v>
      </c>
      <c r="J89" s="48">
        <f>ROUND(D89*'Rate Table'!$E$4,0)</f>
        <v>0</v>
      </c>
      <c r="K89" s="48">
        <f>ROUND(E89*'Rate Table'!$E$4,0)</f>
        <v>0</v>
      </c>
      <c r="L89" s="48">
        <f>ROUND(F89*'Rate Table'!$E$4,0)</f>
        <v>0</v>
      </c>
      <c r="M89" s="49"/>
      <c r="N89" s="48">
        <f>IF($B89&gt;0,2080*'FTE Table'!B87,0)</f>
        <v>0</v>
      </c>
      <c r="O89" s="48">
        <f>IF($B89&gt;0,2080*'FTE Table'!C87,0)</f>
        <v>0</v>
      </c>
      <c r="P89" s="48">
        <f>IF($B89&gt;0,2080*'FTE Table'!D87,0)</f>
        <v>0</v>
      </c>
      <c r="Q89" s="48">
        <f>IF($B89&gt;0,2080*'FTE Table'!E87,0)</f>
        <v>0</v>
      </c>
      <c r="R89" s="48">
        <f>IF($B89&gt;0,2080*'FTE Table'!F87,0)</f>
        <v>0</v>
      </c>
    </row>
    <row r="90" spans="1:18" x14ac:dyDescent="0.3">
      <c r="A90" s="185" t="str">
        <f>IF(Personnel!C42="Cost Share",Personnel!A42,"")</f>
        <v/>
      </c>
      <c r="B90" s="48">
        <f>ROUND(IF(Personnel!$C42&lt;&gt;"Cost Share",0,IF(Personnel!$D$2="No",(Personnel!F42/12)*Personnel!$D42*Personnel!F$74,IF((Personnel!$D42*Personnel!F$74)&lt;Salary_Cap,(Personnel!F42/12)*Personnel!$D42*Personnel!F$74,(Personnel!F42/12)*Salary_Cap))),0)</f>
        <v>0</v>
      </c>
      <c r="C90" s="48">
        <f>ROUND(IF(Personnel!$C42&lt;&gt;"Cost Share",0,IF(Personnel!$D$2="No",(Personnel!G42/12)*Personnel!$D42*Personnel!G$74,IF((Personnel!$D42*Personnel!G$74)&lt;Salary_Cap,(Personnel!G42/12)*Personnel!$D42*Personnel!G$74,(Personnel!G42/12)*Salary_Cap))),0)</f>
        <v>0</v>
      </c>
      <c r="D90" s="48">
        <f>ROUND(IF(Personnel!$C42&lt;&gt;"Cost Share",0,IF(Personnel!$D$2="No",(Personnel!H42/12)*Personnel!$D42*Personnel!H$74,IF((Personnel!$D42*Personnel!H$74)&lt;Salary_Cap,(Personnel!H42/12)*Personnel!$D42*Personnel!H$74,(Personnel!H42/12)*Salary_Cap))),0)</f>
        <v>0</v>
      </c>
      <c r="E90" s="48">
        <f>ROUND(IF(Personnel!$C42&lt;&gt;"Cost Share",0,IF(Personnel!$D$2="No",(Personnel!I42/12)*Personnel!$D42*Personnel!I$74,IF((Personnel!$D42*Personnel!I$74)&lt;Salary_Cap,(Personnel!I42/12)*Personnel!$D42*Personnel!I$74,(Personnel!I42/12)*Salary_Cap))),0)</f>
        <v>0</v>
      </c>
      <c r="F90" s="48">
        <f>ROUND(IF(Personnel!$C42&lt;&gt;"Cost Share",0,IF(Personnel!$D$2="No",(Personnel!J42/12)*Personnel!$D42*Personnel!J$74,IF((Personnel!$D42*Personnel!J$74)&lt;Salary_Cap,(Personnel!J42/12)*Personnel!$D42*Personnel!J$74,(Personnel!J42/12)*Salary_Cap))),0)</f>
        <v>0</v>
      </c>
      <c r="H90" s="48">
        <f>ROUND(B90*'Rate Table'!$E$4,0)</f>
        <v>0</v>
      </c>
      <c r="I90" s="48">
        <f>ROUND(C90*'Rate Table'!$E$4,0)</f>
        <v>0</v>
      </c>
      <c r="J90" s="48">
        <f>ROUND(D90*'Rate Table'!$E$4,0)</f>
        <v>0</v>
      </c>
      <c r="K90" s="48">
        <f>ROUND(E90*'Rate Table'!$E$4,0)</f>
        <v>0</v>
      </c>
      <c r="L90" s="48">
        <f>ROUND(F90*'Rate Table'!$E$4,0)</f>
        <v>0</v>
      </c>
      <c r="M90" s="49"/>
      <c r="N90" s="48">
        <f>IF($B90&gt;0,2080*'FTE Table'!B88,0)</f>
        <v>0</v>
      </c>
      <c r="O90" s="48">
        <f>IF($B90&gt;0,2080*'FTE Table'!C88,0)</f>
        <v>0</v>
      </c>
      <c r="P90" s="48">
        <f>IF($B90&gt;0,2080*'FTE Table'!D88,0)</f>
        <v>0</v>
      </c>
      <c r="Q90" s="48">
        <f>IF($B90&gt;0,2080*'FTE Table'!E88,0)</f>
        <v>0</v>
      </c>
      <c r="R90" s="48">
        <f>IF($B90&gt;0,2080*'FTE Table'!F88,0)</f>
        <v>0</v>
      </c>
    </row>
    <row r="91" spans="1:18" x14ac:dyDescent="0.3">
      <c r="A91" s="185" t="str">
        <f>IF(Personnel!C43="Cost Share",Personnel!A43,"")</f>
        <v/>
      </c>
      <c r="B91" s="48">
        <f>ROUND(IF(Personnel!$C43&lt;&gt;"Cost Share",0,IF(Personnel!$D$2="No",(Personnel!F43/12)*Personnel!$D43*Personnel!F$74,IF((Personnel!$D43*Personnel!F$74)&lt;Salary_Cap,(Personnel!F43/12)*Personnel!$D43*Personnel!F$74,(Personnel!F43/12)*Salary_Cap))),0)</f>
        <v>0</v>
      </c>
      <c r="C91" s="48">
        <f>ROUND(IF(Personnel!$C43&lt;&gt;"Cost Share",0,IF(Personnel!$D$2="No",(Personnel!G43/12)*Personnel!$D43*Personnel!G$74,IF((Personnel!$D43*Personnel!G$74)&lt;Salary_Cap,(Personnel!G43/12)*Personnel!$D43*Personnel!G$74,(Personnel!G43/12)*Salary_Cap))),0)</f>
        <v>0</v>
      </c>
      <c r="D91" s="48">
        <f>ROUND(IF(Personnel!$C43&lt;&gt;"Cost Share",0,IF(Personnel!$D$2="No",(Personnel!H43/12)*Personnel!$D43*Personnel!H$74,IF((Personnel!$D43*Personnel!H$74)&lt;Salary_Cap,(Personnel!H43/12)*Personnel!$D43*Personnel!H$74,(Personnel!H43/12)*Salary_Cap))),0)</f>
        <v>0</v>
      </c>
      <c r="E91" s="48">
        <f>ROUND(IF(Personnel!$C43&lt;&gt;"Cost Share",0,IF(Personnel!$D$2="No",(Personnel!I43/12)*Personnel!$D43*Personnel!I$74,IF((Personnel!$D43*Personnel!I$74)&lt;Salary_Cap,(Personnel!I43/12)*Personnel!$D43*Personnel!I$74,(Personnel!I43/12)*Salary_Cap))),0)</f>
        <v>0</v>
      </c>
      <c r="F91" s="48">
        <f>ROUND(IF(Personnel!$C43&lt;&gt;"Cost Share",0,IF(Personnel!$D$2="No",(Personnel!J43/12)*Personnel!$D43*Personnel!J$74,IF((Personnel!$D43*Personnel!J$74)&lt;Salary_Cap,(Personnel!J43/12)*Personnel!$D43*Personnel!J$74,(Personnel!J43/12)*Salary_Cap))),0)</f>
        <v>0</v>
      </c>
      <c r="H91" s="48">
        <f>ROUND(B91*'Rate Table'!$E$4,0)</f>
        <v>0</v>
      </c>
      <c r="I91" s="48">
        <f>ROUND(C91*'Rate Table'!$E$4,0)</f>
        <v>0</v>
      </c>
      <c r="J91" s="48">
        <f>ROUND(D91*'Rate Table'!$E$4,0)</f>
        <v>0</v>
      </c>
      <c r="K91" s="48">
        <f>ROUND(E91*'Rate Table'!$E$4,0)</f>
        <v>0</v>
      </c>
      <c r="L91" s="48">
        <f>ROUND(F91*'Rate Table'!$E$4,0)</f>
        <v>0</v>
      </c>
      <c r="M91" s="49"/>
      <c r="N91" s="48">
        <f>IF($B91&gt;0,2080*'FTE Table'!B89,0)</f>
        <v>0</v>
      </c>
      <c r="O91" s="48">
        <f>IF($B91&gt;0,2080*'FTE Table'!C89,0)</f>
        <v>0</v>
      </c>
      <c r="P91" s="48">
        <f>IF($B91&gt;0,2080*'FTE Table'!D89,0)</f>
        <v>0</v>
      </c>
      <c r="Q91" s="48">
        <f>IF($B91&gt;0,2080*'FTE Table'!E89,0)</f>
        <v>0</v>
      </c>
      <c r="R91" s="48">
        <f>IF($B91&gt;0,2080*'FTE Table'!F89,0)</f>
        <v>0</v>
      </c>
    </row>
    <row r="92" spans="1:18" x14ac:dyDescent="0.3">
      <c r="A92" s="185" t="str">
        <f>IF(Personnel!C44="Cost Share",Personnel!A44,"")</f>
        <v/>
      </c>
      <c r="B92" s="48">
        <f>ROUND(IF(Personnel!$C44&lt;&gt;"Cost Share",0,IF(Personnel!$D$2="No",(Personnel!F44/12)*Personnel!$D44*Personnel!F$74,IF((Personnel!$D44*Personnel!F$74)&lt;Salary_Cap,(Personnel!F44/12)*Personnel!$D44*Personnel!F$74,(Personnel!F44/12)*Salary_Cap))),0)</f>
        <v>0</v>
      </c>
      <c r="C92" s="48">
        <f>ROUND(IF(Personnel!$C44&lt;&gt;"Cost Share",0,IF(Personnel!$D$2="No",(Personnel!G44/12)*Personnel!$D44*Personnel!G$74,IF((Personnel!$D44*Personnel!G$74)&lt;Salary_Cap,(Personnel!G44/12)*Personnel!$D44*Personnel!G$74,(Personnel!G44/12)*Salary_Cap))),0)</f>
        <v>0</v>
      </c>
      <c r="D92" s="48">
        <f>ROUND(IF(Personnel!$C44&lt;&gt;"Cost Share",0,IF(Personnel!$D$2="No",(Personnel!H44/12)*Personnel!$D44*Personnel!H$74,IF((Personnel!$D44*Personnel!H$74)&lt;Salary_Cap,(Personnel!H44/12)*Personnel!$D44*Personnel!H$74,(Personnel!H44/12)*Salary_Cap))),0)</f>
        <v>0</v>
      </c>
      <c r="E92" s="48">
        <f>ROUND(IF(Personnel!$C44&lt;&gt;"Cost Share",0,IF(Personnel!$D$2="No",(Personnel!I44/12)*Personnel!$D44*Personnel!I$74,IF((Personnel!$D44*Personnel!I$74)&lt;Salary_Cap,(Personnel!I44/12)*Personnel!$D44*Personnel!I$74,(Personnel!I44/12)*Salary_Cap))),0)</f>
        <v>0</v>
      </c>
      <c r="F92" s="48">
        <f>ROUND(IF(Personnel!$C44&lt;&gt;"Cost Share",0,IF(Personnel!$D$2="No",(Personnel!J44/12)*Personnel!$D44*Personnel!J$74,IF((Personnel!$D44*Personnel!J$74)&lt;Salary_Cap,(Personnel!J44/12)*Personnel!$D44*Personnel!J$74,(Personnel!J44/12)*Salary_Cap))),0)</f>
        <v>0</v>
      </c>
      <c r="H92" s="48">
        <f>ROUND(B92*'Rate Table'!$E$4,0)</f>
        <v>0</v>
      </c>
      <c r="I92" s="48">
        <f>ROUND(C92*'Rate Table'!$E$4,0)</f>
        <v>0</v>
      </c>
      <c r="J92" s="48">
        <f>ROUND(D92*'Rate Table'!$E$4,0)</f>
        <v>0</v>
      </c>
      <c r="K92" s="48">
        <f>ROUND(E92*'Rate Table'!$E$4,0)</f>
        <v>0</v>
      </c>
      <c r="L92" s="48">
        <f>ROUND(F92*'Rate Table'!$E$4,0)</f>
        <v>0</v>
      </c>
      <c r="M92" s="49"/>
      <c r="N92" s="48">
        <f>IF($B92&gt;0,2080*'FTE Table'!B90,0)</f>
        <v>0</v>
      </c>
      <c r="O92" s="48">
        <f>IF($B92&gt;0,2080*'FTE Table'!C90,0)</f>
        <v>0</v>
      </c>
      <c r="P92" s="48">
        <f>IF($B92&gt;0,2080*'FTE Table'!D90,0)</f>
        <v>0</v>
      </c>
      <c r="Q92" s="48">
        <f>IF($B92&gt;0,2080*'FTE Table'!E90,0)</f>
        <v>0</v>
      </c>
      <c r="R92" s="48">
        <f>IF($B92&gt;0,2080*'FTE Table'!F90,0)</f>
        <v>0</v>
      </c>
    </row>
    <row r="93" spans="1:18" x14ac:dyDescent="0.3">
      <c r="A93" s="161" t="s">
        <v>153</v>
      </c>
      <c r="B93" s="162">
        <f>ROUND(SUM(B86:B92),0)</f>
        <v>0</v>
      </c>
      <c r="C93" s="162">
        <f>ROUND(SUM(C86:C92),0)</f>
        <v>0</v>
      </c>
      <c r="D93" s="162">
        <f>ROUND(SUM(D86:D92),0)</f>
        <v>0</v>
      </c>
      <c r="E93" s="162">
        <f>ROUND(SUM(E86:E92),0)</f>
        <v>0</v>
      </c>
      <c r="F93" s="162">
        <f>ROUND(SUM(F86:F92),0)</f>
        <v>0</v>
      </c>
      <c r="G93" s="162"/>
      <c r="H93" s="162">
        <f>ROUND(SUM(H86:H92),0)</f>
        <v>0</v>
      </c>
      <c r="I93" s="162">
        <f>ROUND(SUM(I86:I92),0)</f>
        <v>0</v>
      </c>
      <c r="J93" s="162">
        <f>ROUND(SUM(J86:J92),0)</f>
        <v>0</v>
      </c>
      <c r="K93" s="162">
        <f>ROUND(SUM(K86:K92),0)</f>
        <v>0</v>
      </c>
      <c r="L93" s="162">
        <f>ROUND(SUM(L86:L92),0)</f>
        <v>0</v>
      </c>
      <c r="M93" s="162"/>
      <c r="N93" s="162">
        <f>SUM(N86:N92)</f>
        <v>0</v>
      </c>
      <c r="O93" s="162">
        <f>SUM(O86:O92)</f>
        <v>0</v>
      </c>
      <c r="P93" s="162">
        <f>SUM(P86:P92)</f>
        <v>0</v>
      </c>
      <c r="Q93" s="162">
        <f>SUM(Q86:Q92)</f>
        <v>0</v>
      </c>
      <c r="R93" s="162">
        <f>SUM(R86:R92)</f>
        <v>0</v>
      </c>
    </row>
    <row r="94" spans="1:18" ht="15.6" customHeight="1" x14ac:dyDescent="0.3">
      <c r="A94" s="54"/>
      <c r="B94" s="411" t="s">
        <v>154</v>
      </c>
      <c r="C94" s="397"/>
      <c r="D94" s="397"/>
      <c r="E94" s="397"/>
      <c r="F94" s="397"/>
      <c r="G94" s="397"/>
      <c r="H94" s="397"/>
      <c r="I94" s="397"/>
      <c r="J94" s="397"/>
      <c r="K94" s="397"/>
      <c r="L94" s="397"/>
      <c r="M94" s="397"/>
      <c r="N94" s="397"/>
      <c r="O94" s="397"/>
      <c r="P94" s="397"/>
      <c r="Q94" s="397"/>
      <c r="R94" s="397"/>
    </row>
    <row r="95" spans="1:18" x14ac:dyDescent="0.3">
      <c r="A95" s="185" t="str">
        <f>IF(Personnel!$C47="Cost Share",Personnel!A47,"")</f>
        <v/>
      </c>
      <c r="B95" s="48">
        <f>ROUND(IF(Personnel!$C47="Cost Share",((Personnel!F47/12)*Personnel!$D47*Personnel!F$74),0),0)</f>
        <v>0</v>
      </c>
      <c r="C95" s="48">
        <f>ROUND(IF(Personnel!$C47="Cost Share",((Personnel!G47/12)*Personnel!$D47*Personnel!G$74),0),0)</f>
        <v>0</v>
      </c>
      <c r="D95" s="48">
        <f>ROUND(IF(Personnel!$C47="Cost Share",((Personnel!H47/12)*Personnel!$D47*Personnel!H$74),0),0)</f>
        <v>0</v>
      </c>
      <c r="E95" s="48">
        <f>ROUND(IF(Personnel!$C47="Cost Share",((Personnel!I47/12)*Personnel!$D47*Personnel!I$74),0),0)</f>
        <v>0</v>
      </c>
      <c r="F95" s="48">
        <f>ROUND(IF(Personnel!$C47="Cost Share",((Personnel!J47/12)*Personnel!$D47*Personnel!J$74),0),0)</f>
        <v>0</v>
      </c>
      <c r="H95" s="48">
        <f>ROUND(B95*'Rate Table'!$E$11,0)</f>
        <v>0</v>
      </c>
      <c r="I95" s="48">
        <f>ROUND(C95*'Rate Table'!$E$11,0)</f>
        <v>0</v>
      </c>
      <c r="J95" s="48">
        <f>ROUND(D95*'Rate Table'!$E$11,0)</f>
        <v>0</v>
      </c>
      <c r="K95" s="48">
        <f>ROUND(E95*'Rate Table'!$E$11,0)</f>
        <v>0</v>
      </c>
      <c r="L95" s="48">
        <f>ROUND(F95*'Rate Table'!$E$11,0)</f>
        <v>0</v>
      </c>
      <c r="M95" s="49"/>
      <c r="N95" s="48">
        <f>IF($B95&gt;0,2080*'FTE Table'!B92,0)</f>
        <v>0</v>
      </c>
      <c r="O95" s="48">
        <f>IF($B95&gt;0,2080*'FTE Table'!C92,0)</f>
        <v>0</v>
      </c>
      <c r="P95" s="48">
        <f>IF($B95&gt;0,2080*'FTE Table'!D92,0)</f>
        <v>0</v>
      </c>
      <c r="Q95" s="48">
        <f>IF($B95&gt;0,2080*'FTE Table'!E92,0)</f>
        <v>0</v>
      </c>
      <c r="R95" s="48">
        <f>IF($B95&gt;0,2080*'FTE Table'!F92,0)</f>
        <v>0</v>
      </c>
    </row>
    <row r="96" spans="1:18" x14ac:dyDescent="0.3">
      <c r="A96" s="185" t="str">
        <f>IF(Personnel!$C48="Cost Share",Personnel!A48,"")</f>
        <v/>
      </c>
      <c r="B96" s="48">
        <f>ROUND(IF(Personnel!$C48="Cost Share",((Personnel!F48/12)*Personnel!$D48*Personnel!F$74),0),0)</f>
        <v>0</v>
      </c>
      <c r="C96" s="48">
        <f>ROUND(IF(Personnel!$C48="Cost Share",((Personnel!G48/12)*Personnel!$D48*Personnel!G$74),0),0)</f>
        <v>0</v>
      </c>
      <c r="D96" s="48">
        <f>ROUND(IF(Personnel!$C48="Cost Share",((Personnel!H48/12)*Personnel!$D48*Personnel!H$74),0),0)</f>
        <v>0</v>
      </c>
      <c r="E96" s="48">
        <f>ROUND(IF(Personnel!$C48="Cost Share",((Personnel!I48/12)*Personnel!$D48*Personnel!I$74),0),0)</f>
        <v>0</v>
      </c>
      <c r="F96" s="48">
        <f>ROUND(IF(Personnel!$C48="Cost Share",((Personnel!J48/12)*Personnel!$D48*Personnel!J$74),0),0)</f>
        <v>0</v>
      </c>
      <c r="H96" s="48">
        <f>ROUND(B96*'Rate Table'!$E$11,0)</f>
        <v>0</v>
      </c>
      <c r="I96" s="48">
        <f>ROUND(C96*'Rate Table'!$E$11,0)</f>
        <v>0</v>
      </c>
      <c r="J96" s="48">
        <f>ROUND(D96*'Rate Table'!$E$11,0)</f>
        <v>0</v>
      </c>
      <c r="K96" s="48">
        <f>ROUND(E96*'Rate Table'!$E$11,0)</f>
        <v>0</v>
      </c>
      <c r="L96" s="48">
        <f>ROUND(F96*'Rate Table'!$E$11,0)</f>
        <v>0</v>
      </c>
      <c r="M96" s="49"/>
      <c r="N96" s="48">
        <f>IF($B96&gt;0,2080*'FTE Table'!B93,0)</f>
        <v>0</v>
      </c>
      <c r="O96" s="48">
        <f>IF($B96&gt;0,2080*'FTE Table'!C93,0)</f>
        <v>0</v>
      </c>
      <c r="P96" s="48">
        <f>IF($B96&gt;0,2080*'FTE Table'!D93,0)</f>
        <v>0</v>
      </c>
      <c r="Q96" s="48">
        <f>IF($B96&gt;0,2080*'FTE Table'!E93,0)</f>
        <v>0</v>
      </c>
      <c r="R96" s="48">
        <f>IF($B96&gt;0,2080*'FTE Table'!F93,0)</f>
        <v>0</v>
      </c>
    </row>
    <row r="97" spans="1:18" x14ac:dyDescent="0.3">
      <c r="A97" s="185" t="str">
        <f>IF(Personnel!$C49="Cost Share",Personnel!A49,"")</f>
        <v/>
      </c>
      <c r="B97" s="48">
        <f>ROUND(IF(Personnel!$C49="Cost Share",((Personnel!F49/12)*Personnel!$D49*Personnel!F$74),0),0)</f>
        <v>0</v>
      </c>
      <c r="C97" s="48">
        <f>ROUND(IF(Personnel!$C49="Cost Share",((Personnel!G49/12)*Personnel!$D49*Personnel!G$74),0),0)</f>
        <v>0</v>
      </c>
      <c r="D97" s="48">
        <f>ROUND(IF(Personnel!$C49="Cost Share",((Personnel!H49/12)*Personnel!$D49*Personnel!H$74),0),0)</f>
        <v>0</v>
      </c>
      <c r="E97" s="48">
        <f>ROUND(IF(Personnel!$C49="Cost Share",((Personnel!I49/12)*Personnel!$D49*Personnel!I$74),0),0)</f>
        <v>0</v>
      </c>
      <c r="F97" s="48">
        <f>ROUND(IF(Personnel!$C49="Cost Share",((Personnel!J49/12)*Personnel!$D49*Personnel!J$74),0),0)</f>
        <v>0</v>
      </c>
      <c r="H97" s="48">
        <f>ROUND(B97*'Rate Table'!$E$11,0)</f>
        <v>0</v>
      </c>
      <c r="I97" s="48">
        <f>ROUND(C97*'Rate Table'!$E$11,0)</f>
        <v>0</v>
      </c>
      <c r="J97" s="48">
        <f>ROUND(D97*'Rate Table'!$E$11,0)</f>
        <v>0</v>
      </c>
      <c r="K97" s="48">
        <f>ROUND(E97*'Rate Table'!$E$11,0)</f>
        <v>0</v>
      </c>
      <c r="L97" s="48">
        <f>ROUND(F97*'Rate Table'!$E$11,0)</f>
        <v>0</v>
      </c>
      <c r="M97" s="49"/>
      <c r="N97" s="48">
        <f>IF($B97&gt;0,2080*'FTE Table'!B94,0)</f>
        <v>0</v>
      </c>
      <c r="O97" s="48">
        <f>IF($B97&gt;0,2080*'FTE Table'!C94,0)</f>
        <v>0</v>
      </c>
      <c r="P97" s="48">
        <f>IF($B97&gt;0,2080*'FTE Table'!D94,0)</f>
        <v>0</v>
      </c>
      <c r="Q97" s="48">
        <f>IF($B97&gt;0,2080*'FTE Table'!E94,0)</f>
        <v>0</v>
      </c>
      <c r="R97" s="48">
        <f>IF($B97&gt;0,2080*'FTE Table'!F94,0)</f>
        <v>0</v>
      </c>
    </row>
    <row r="98" spans="1:18" x14ac:dyDescent="0.3">
      <c r="A98" s="185" t="str">
        <f>IF(Personnel!$C50="Cost Share",Personnel!A50,"")</f>
        <v/>
      </c>
      <c r="B98" s="48">
        <f>ROUND(IF(Personnel!$C50="Cost Share",((Personnel!F50/12)*Personnel!$D50*Personnel!F$74),0),0)</f>
        <v>0</v>
      </c>
      <c r="C98" s="48">
        <f>ROUND(IF(Personnel!$C50="Cost Share",((Personnel!G50/12)*Personnel!$D50*Personnel!G$74),0),0)</f>
        <v>0</v>
      </c>
      <c r="D98" s="48">
        <f>ROUND(IF(Personnel!$C50="Cost Share",((Personnel!H50/12)*Personnel!$D50*Personnel!H$74),0),0)</f>
        <v>0</v>
      </c>
      <c r="E98" s="48">
        <f>ROUND(IF(Personnel!$C50="Cost Share",((Personnel!I50/12)*Personnel!$D50*Personnel!I$74),0),0)</f>
        <v>0</v>
      </c>
      <c r="F98" s="48">
        <f>ROUND(IF(Personnel!$C50="Cost Share",((Personnel!J50/12)*Personnel!$D50*Personnel!J$74),0),0)</f>
        <v>0</v>
      </c>
      <c r="H98" s="48">
        <f>ROUND(B98*'Rate Table'!$E$11,0)</f>
        <v>0</v>
      </c>
      <c r="I98" s="48">
        <f>ROUND(C98*'Rate Table'!$E$11,0)</f>
        <v>0</v>
      </c>
      <c r="J98" s="48">
        <f>ROUND(D98*'Rate Table'!$E$11,0)</f>
        <v>0</v>
      </c>
      <c r="K98" s="48">
        <f>ROUND(E98*'Rate Table'!$E$11,0)</f>
        <v>0</v>
      </c>
      <c r="L98" s="48">
        <f>ROUND(F98*'Rate Table'!$E$11,0)</f>
        <v>0</v>
      </c>
      <c r="M98" s="49"/>
      <c r="N98" s="48">
        <f>IF($B98&gt;0,2080*'FTE Table'!B95,0)</f>
        <v>0</v>
      </c>
      <c r="O98" s="48">
        <f>IF($B98&gt;0,2080*'FTE Table'!C95,0)</f>
        <v>0</v>
      </c>
      <c r="P98" s="48">
        <f>IF($B98&gt;0,2080*'FTE Table'!D95,0)</f>
        <v>0</v>
      </c>
      <c r="Q98" s="48">
        <f>IF($B98&gt;0,2080*'FTE Table'!E95,0)</f>
        <v>0</v>
      </c>
      <c r="R98" s="48">
        <f>IF($B98&gt;0,2080*'FTE Table'!F95,0)</f>
        <v>0</v>
      </c>
    </row>
    <row r="99" spans="1:18" x14ac:dyDescent="0.3">
      <c r="A99" s="161" t="s">
        <v>155</v>
      </c>
      <c r="B99" s="162">
        <f>ROUND(SUM(B94:B98),0)</f>
        <v>0</v>
      </c>
      <c r="C99" s="162">
        <f>ROUND(SUM(C94:C98),0)</f>
        <v>0</v>
      </c>
      <c r="D99" s="162">
        <f>ROUND(SUM(D94:D98),0)</f>
        <v>0</v>
      </c>
      <c r="E99" s="162">
        <f>ROUND(SUM(E94:E98),0)</f>
        <v>0</v>
      </c>
      <c r="F99" s="162">
        <f>ROUND(SUM(F94:F98),0)</f>
        <v>0</v>
      </c>
      <c r="G99" s="162"/>
      <c r="H99" s="162">
        <f>ROUND(SUM(H94:H98),0)</f>
        <v>0</v>
      </c>
      <c r="I99" s="162">
        <f>ROUND(SUM(I94:I98),0)</f>
        <v>0</v>
      </c>
      <c r="J99" s="162">
        <f>ROUND(SUM(J94:J98),0)</f>
        <v>0</v>
      </c>
      <c r="K99" s="162">
        <f>ROUND(SUM(K94:K98),0)</f>
        <v>0</v>
      </c>
      <c r="L99" s="162">
        <f>ROUND(SUM(L94:L98),0)</f>
        <v>0</v>
      </c>
      <c r="M99" s="162"/>
      <c r="N99" s="162">
        <f>SUM(N95:N98)</f>
        <v>0</v>
      </c>
      <c r="O99" s="162">
        <f>SUM(O95:O98)</f>
        <v>0</v>
      </c>
      <c r="P99" s="162">
        <f>SUM(P95:P98)</f>
        <v>0</v>
      </c>
      <c r="Q99" s="162">
        <f>SUM(Q95:Q98)</f>
        <v>0</v>
      </c>
      <c r="R99" s="162">
        <f>SUM(R95:R98)</f>
        <v>0</v>
      </c>
    </row>
    <row r="100" spans="1:18" ht="15.6" customHeight="1" x14ac:dyDescent="0.3">
      <c r="A100" s="54"/>
      <c r="B100" s="411" t="s">
        <v>59</v>
      </c>
      <c r="C100" s="397"/>
      <c r="D100" s="397"/>
      <c r="E100" s="397"/>
      <c r="F100" s="397"/>
      <c r="G100" s="397"/>
      <c r="H100" s="397"/>
      <c r="I100" s="397"/>
      <c r="J100" s="397"/>
      <c r="K100" s="397"/>
      <c r="L100" s="397"/>
      <c r="M100" s="397"/>
      <c r="N100" s="397"/>
      <c r="O100" s="397"/>
      <c r="P100" s="397"/>
      <c r="Q100" s="397"/>
      <c r="R100" s="397"/>
    </row>
    <row r="101" spans="1:18" x14ac:dyDescent="0.3">
      <c r="A101" s="185" t="str">
        <f>IF(Personnel!$C55="Cost Share",Personnel!A55,"")</f>
        <v/>
      </c>
      <c r="B101" s="48">
        <f>ROUND(IF(Personnel!$C55="Cost Share",((Personnel!F55/12)*Personnel!$D55*Personnel!F$74),0),0)</f>
        <v>0</v>
      </c>
      <c r="C101" s="48">
        <f>ROUND(IF(Personnel!$C55="Cost Share",((Personnel!G55/12)*Personnel!$D55*Personnel!G$74),0),0)</f>
        <v>0</v>
      </c>
      <c r="D101" s="48">
        <f>ROUND(IF(Personnel!$C55="Cost Share",((Personnel!H55/12)*Personnel!$D55*Personnel!H$74),0),0)</f>
        <v>0</v>
      </c>
      <c r="E101" s="48">
        <f>ROUND(IF(Personnel!$C55="Cost Share",((Personnel!I55/12)*Personnel!$D55*Personnel!I$74),0),0)</f>
        <v>0</v>
      </c>
      <c r="F101" s="48">
        <f>ROUND(IF(Personnel!$C55="Cost Share",((Personnel!J55/12)*Personnel!$D55*Personnel!J$74),0),0)</f>
        <v>0</v>
      </c>
      <c r="H101" s="48">
        <f>ROUND(B101*'Rate Table'!$E$14,0)</f>
        <v>0</v>
      </c>
      <c r="I101" s="48">
        <f>ROUND(C101*'Rate Table'!$E$14,0)</f>
        <v>0</v>
      </c>
      <c r="J101" s="48">
        <f>ROUND(D101*'Rate Table'!$E$14,0)</f>
        <v>0</v>
      </c>
      <c r="K101" s="48">
        <f>ROUND(E101*'Rate Table'!$E$14,0)</f>
        <v>0</v>
      </c>
      <c r="L101" s="48">
        <f>ROUND(F101*'Rate Table'!$E$14,0)</f>
        <v>0</v>
      </c>
      <c r="M101" s="49"/>
      <c r="N101" s="48">
        <f>IF($B101&gt;0,2080*'FTE Table'!B99,0)</f>
        <v>0</v>
      </c>
      <c r="O101" s="48">
        <f>IF($B101&gt;0,2080*'FTE Table'!C99,0)</f>
        <v>0</v>
      </c>
      <c r="P101" s="48">
        <f>IF($B101&gt;0,2080*'FTE Table'!D99,0)</f>
        <v>0</v>
      </c>
      <c r="Q101" s="48">
        <f>IF($B101&gt;0,2080*'FTE Table'!E99,0)</f>
        <v>0</v>
      </c>
      <c r="R101" s="48">
        <f>IF($B101&gt;0,2080*'FTE Table'!F99,0)</f>
        <v>0</v>
      </c>
    </row>
    <row r="102" spans="1:18" x14ac:dyDescent="0.3">
      <c r="A102" s="185" t="str">
        <f>IF(Personnel!$C56="Cost Share",Personnel!A56,"")</f>
        <v/>
      </c>
      <c r="B102" s="48">
        <f>ROUND(IF(Personnel!$C56="Cost Share",((Personnel!F56/12)*Personnel!$D56*Personnel!F$74),0),0)</f>
        <v>0</v>
      </c>
      <c r="C102" s="48">
        <f>ROUND(IF(Personnel!$C56="Cost Share",((Personnel!G56/12)*Personnel!$D56*Personnel!G$74),0),0)</f>
        <v>0</v>
      </c>
      <c r="D102" s="48">
        <f>ROUND(IF(Personnel!$C56="Cost Share",((Personnel!H56/12)*Personnel!$D56*Personnel!H$74),0),0)</f>
        <v>0</v>
      </c>
      <c r="E102" s="48">
        <f>ROUND(IF(Personnel!$C56="Cost Share",((Personnel!I56/12)*Personnel!$D56*Personnel!I$74),0),0)</f>
        <v>0</v>
      </c>
      <c r="F102" s="48">
        <f>ROUND(IF(Personnel!$C56="Cost Share",((Personnel!J56/12)*Personnel!$D56*Personnel!J$74),0),0)</f>
        <v>0</v>
      </c>
      <c r="H102" s="48">
        <f>ROUND(B102*'Rate Table'!$E$14,0)</f>
        <v>0</v>
      </c>
      <c r="I102" s="48">
        <f>ROUND(C102*'Rate Table'!$E$14,0)</f>
        <v>0</v>
      </c>
      <c r="J102" s="48">
        <f>ROUND(D102*'Rate Table'!$E$14,0)</f>
        <v>0</v>
      </c>
      <c r="K102" s="48">
        <f>ROUND(E102*'Rate Table'!$E$14,0)</f>
        <v>0</v>
      </c>
      <c r="L102" s="48">
        <f>ROUND(F102*'Rate Table'!$E$14,0)</f>
        <v>0</v>
      </c>
      <c r="M102" s="49"/>
      <c r="N102" s="48">
        <f>IF($B102&gt;0,2080*'FTE Table'!B100,0)</f>
        <v>0</v>
      </c>
      <c r="O102" s="48">
        <f>IF($B102&gt;0,2080*'FTE Table'!C100,0)</f>
        <v>0</v>
      </c>
      <c r="P102" s="48">
        <f>IF($B102&gt;0,2080*'FTE Table'!D100,0)</f>
        <v>0</v>
      </c>
      <c r="Q102" s="48">
        <f>IF($B102&gt;0,2080*'FTE Table'!E100,0)</f>
        <v>0</v>
      </c>
      <c r="R102" s="48">
        <f>IF($B102&gt;0,2080*'FTE Table'!F100,0)</f>
        <v>0</v>
      </c>
    </row>
    <row r="103" spans="1:18" x14ac:dyDescent="0.3">
      <c r="A103" s="185" t="str">
        <f>IF(Personnel!$C57="Cost Share",Personnel!A57,"")</f>
        <v/>
      </c>
      <c r="B103" s="48">
        <f>ROUND(IF(Personnel!$C57="Cost Share",((Personnel!F57/12)*Personnel!$D57*Personnel!F$74),0),0)</f>
        <v>0</v>
      </c>
      <c r="C103" s="48">
        <f>ROUND(IF(Personnel!$C57="Cost Share",((Personnel!G57/12)*Personnel!$D57*Personnel!G$74),0),0)</f>
        <v>0</v>
      </c>
      <c r="D103" s="48">
        <f>ROUND(IF(Personnel!$C57="Cost Share",((Personnel!H57/12)*Personnel!$D57*Personnel!H$74),0),0)</f>
        <v>0</v>
      </c>
      <c r="E103" s="48">
        <f>ROUND(IF(Personnel!$C57="Cost Share",((Personnel!I57/12)*Personnel!$D57*Personnel!I$74),0),0)</f>
        <v>0</v>
      </c>
      <c r="F103" s="48">
        <f>ROUND(IF(Personnel!$C57="Cost Share",((Personnel!J57/12)*Personnel!$D57*Personnel!J$74),0),0)</f>
        <v>0</v>
      </c>
      <c r="H103" s="48">
        <f>ROUND(B103*'Rate Table'!$E$14,0)</f>
        <v>0</v>
      </c>
      <c r="I103" s="48">
        <f>ROUND(C103*'Rate Table'!$E$14,0)</f>
        <v>0</v>
      </c>
      <c r="J103" s="48">
        <f>ROUND(D103*'Rate Table'!$E$14,0)</f>
        <v>0</v>
      </c>
      <c r="K103" s="48">
        <f>ROUND(E103*'Rate Table'!$E$14,0)</f>
        <v>0</v>
      </c>
      <c r="L103" s="48">
        <f>ROUND(F103*'Rate Table'!$E$14,0)</f>
        <v>0</v>
      </c>
      <c r="M103" s="49"/>
      <c r="N103" s="48">
        <f>IF($B103&gt;0,2080*'FTE Table'!B101,0)</f>
        <v>0</v>
      </c>
      <c r="O103" s="48">
        <f>IF($B103&gt;0,2080*'FTE Table'!C101,0)</f>
        <v>0</v>
      </c>
      <c r="P103" s="48">
        <f>IF($B103&gt;0,2080*'FTE Table'!D101,0)</f>
        <v>0</v>
      </c>
      <c r="Q103" s="48">
        <f>IF($B103&gt;0,2080*'FTE Table'!E101,0)</f>
        <v>0</v>
      </c>
      <c r="R103" s="48">
        <f>IF($B103&gt;0,2080*'FTE Table'!F101,0)</f>
        <v>0</v>
      </c>
    </row>
    <row r="104" spans="1:18" x14ac:dyDescent="0.3">
      <c r="A104" s="185" t="str">
        <f>IF(Personnel!$C58="Cost Share",Personnel!A58,"")</f>
        <v/>
      </c>
      <c r="B104" s="48">
        <f>ROUND(IF(Personnel!$C58="Cost Share",((Personnel!F58/12)*Personnel!$D58*Personnel!F$74),0),0)</f>
        <v>0</v>
      </c>
      <c r="C104" s="48">
        <f>ROUND(IF(Personnel!$C58="Cost Share",((Personnel!G58/12)*Personnel!$D58*Personnel!G$74),0),0)</f>
        <v>0</v>
      </c>
      <c r="D104" s="48">
        <f>ROUND(IF(Personnel!$C58="Cost Share",((Personnel!H58/12)*Personnel!$D58*Personnel!H$74),0),0)</f>
        <v>0</v>
      </c>
      <c r="E104" s="48">
        <f>ROUND(IF(Personnel!$C58="Cost Share",((Personnel!I58/12)*Personnel!$D58*Personnel!I$74),0),0)</f>
        <v>0</v>
      </c>
      <c r="F104" s="48">
        <f>ROUND(IF(Personnel!$C58="Cost Share",((Personnel!J58/12)*Personnel!$D58*Personnel!J$74),0),0)</f>
        <v>0</v>
      </c>
      <c r="H104" s="48">
        <f>ROUND(B104*'Rate Table'!$E$14,0)</f>
        <v>0</v>
      </c>
      <c r="I104" s="48">
        <f>ROUND(C104*'Rate Table'!$E$14,0)</f>
        <v>0</v>
      </c>
      <c r="J104" s="48">
        <f>ROUND(D104*'Rate Table'!$E$14,0)</f>
        <v>0</v>
      </c>
      <c r="K104" s="48">
        <f>ROUND(E104*'Rate Table'!$E$14,0)</f>
        <v>0</v>
      </c>
      <c r="L104" s="48">
        <f>ROUND(F104*'Rate Table'!$E$14,0)</f>
        <v>0</v>
      </c>
      <c r="M104" s="49"/>
      <c r="N104" s="48">
        <f>IF($B104&gt;0,2080*'FTE Table'!B102,0)</f>
        <v>0</v>
      </c>
      <c r="O104" s="48">
        <f>IF($B104&gt;0,2080*'FTE Table'!C102,0)</f>
        <v>0</v>
      </c>
      <c r="P104" s="48">
        <f>IF($B104&gt;0,2080*'FTE Table'!D102,0)</f>
        <v>0</v>
      </c>
      <c r="Q104" s="48">
        <f>IF($B104&gt;0,2080*'FTE Table'!E102,0)</f>
        <v>0</v>
      </c>
      <c r="R104" s="48">
        <f>IF($B104&gt;0,2080*'FTE Table'!F102,0)</f>
        <v>0</v>
      </c>
    </row>
    <row r="105" spans="1:18" x14ac:dyDescent="0.3">
      <c r="A105" s="161" t="s">
        <v>163</v>
      </c>
      <c r="B105" s="162">
        <f>ROUND(SUM(B100:B104),0)</f>
        <v>0</v>
      </c>
      <c r="C105" s="162">
        <f>ROUND(SUM(C100:C104),0)</f>
        <v>0</v>
      </c>
      <c r="D105" s="162">
        <f>ROUND(SUM(D100:D104),0)</f>
        <v>0</v>
      </c>
      <c r="E105" s="162">
        <f>ROUND(SUM(E100:E104),0)</f>
        <v>0</v>
      </c>
      <c r="F105" s="162">
        <f>ROUND(SUM(F100:F104),0)</f>
        <v>0</v>
      </c>
      <c r="G105" s="162"/>
      <c r="H105" s="162">
        <f>ROUND(SUM(H100:H104),0)</f>
        <v>0</v>
      </c>
      <c r="I105" s="162">
        <f>ROUND(SUM(I100:I104),0)</f>
        <v>0</v>
      </c>
      <c r="J105" s="162">
        <f>ROUND(SUM(J100:J104),0)</f>
        <v>0</v>
      </c>
      <c r="K105" s="162">
        <f>ROUND(SUM(K100:K104),0)</f>
        <v>0</v>
      </c>
      <c r="L105" s="162">
        <f>ROUND(SUM(L100:L104),0)</f>
        <v>0</v>
      </c>
      <c r="M105" s="162"/>
      <c r="N105" s="162">
        <f>SUM(N101:N104)</f>
        <v>0</v>
      </c>
      <c r="O105" s="162">
        <f>SUM(O101:O104)</f>
        <v>0</v>
      </c>
      <c r="P105" s="162">
        <f>SUM(P101:P104)</f>
        <v>0</v>
      </c>
      <c r="Q105" s="162">
        <f>SUM(Q101:Q104)</f>
        <v>0</v>
      </c>
      <c r="R105" s="162">
        <f>SUM(R101:R104)</f>
        <v>0</v>
      </c>
    </row>
    <row r="106" spans="1:18" ht="15.6" customHeight="1" x14ac:dyDescent="0.3">
      <c r="A106" s="54"/>
      <c r="B106" s="411" t="s">
        <v>164</v>
      </c>
      <c r="C106" s="397"/>
      <c r="D106" s="397"/>
      <c r="E106" s="397"/>
      <c r="F106" s="397"/>
      <c r="G106" s="397"/>
      <c r="H106" s="397"/>
      <c r="I106" s="397"/>
      <c r="J106" s="397"/>
      <c r="K106" s="397"/>
      <c r="L106" s="397"/>
      <c r="M106" s="397"/>
      <c r="N106" s="397"/>
      <c r="O106" s="397"/>
      <c r="P106" s="397"/>
      <c r="Q106" s="397"/>
      <c r="R106" s="397"/>
    </row>
    <row r="107" spans="1:18" x14ac:dyDescent="0.3">
      <c r="A107" s="294" t="str">
        <f>IF(Personnel!$C63="Cost Share",Personnel!A63," ")</f>
        <v xml:space="preserve"> </v>
      </c>
      <c r="B107" s="48">
        <f>ROUND(IF(Personnel!$C63="Cost Share",((Personnel!F63/12)*Personnel!$D63*Personnel!F$74),0),0)</f>
        <v>0</v>
      </c>
      <c r="C107" s="48">
        <f>ROUND(IF(Personnel!$C63="Cost Share",((Personnel!G63/12)*Personnel!$D63*Personnel!G$74),0),0)</f>
        <v>0</v>
      </c>
      <c r="D107" s="48">
        <f>ROUND(IF(Personnel!$C63="Cost Share",((Personnel!H63/12)*Personnel!$D63*Personnel!H$74),0),0)</f>
        <v>0</v>
      </c>
      <c r="E107" s="48">
        <f>ROUND(IF(Personnel!$C63="Cost Share",((Personnel!I63/12)*Personnel!$D63*Personnel!I$74),0),0)</f>
        <v>0</v>
      </c>
      <c r="F107" s="48">
        <f>ROUND(IF(Personnel!$C63="Cost Share",((Personnel!J63/12)*Personnel!$D63*Personnel!J$74),0),0)</f>
        <v>0</v>
      </c>
      <c r="H107" s="48">
        <f>IF($A63="Graduate Assistant (GA)",('FTE Table'!B63+'FTE Table'!B106)*'Rate Table'!#REF!,0)</f>
        <v>0</v>
      </c>
      <c r="I107" s="48">
        <f>IF($A63="Graduate Assistant (GA)",('FTE Table'!C63+'FTE Table'!C106)*'Rate Table'!#REF!,0)</f>
        <v>0</v>
      </c>
      <c r="J107" s="48">
        <f>IF($A63="Graduate Assistant (GA)",('FTE Table'!D63+'FTE Table'!D106)*'Rate Table'!#REF!,0)</f>
        <v>0</v>
      </c>
      <c r="K107" s="48">
        <f>IF($A63="Graduate Assistant (GA)",('FTE Table'!E63+'FTE Table'!E106)*'Rate Table'!#REF!,0)</f>
        <v>0</v>
      </c>
      <c r="L107" s="48">
        <f>IF($A63="Graduate Assistant (GA)",('FTE Table'!F63+'FTE Table'!F106)*'Rate Table'!#REF!,0)</f>
        <v>0</v>
      </c>
      <c r="M107" s="49"/>
      <c r="N107" s="48">
        <f>IF($B107&gt;0,2080*'FTE Table'!B106,0)</f>
        <v>0</v>
      </c>
      <c r="O107" s="48">
        <f>IF($B107&gt;0,2080*'FTE Table'!C106,0)</f>
        <v>0</v>
      </c>
      <c r="P107" s="48">
        <f>IF($B107&gt;0,2080*'FTE Table'!D106,0)</f>
        <v>0</v>
      </c>
      <c r="Q107" s="48">
        <f>IF($B107&gt;0,2080*'FTE Table'!E106,0)</f>
        <v>0</v>
      </c>
      <c r="R107" s="48">
        <f>IF($B107&gt;0,2080*'FTE Table'!F106,0)</f>
        <v>0</v>
      </c>
    </row>
    <row r="108" spans="1:18" x14ac:dyDescent="0.3">
      <c r="A108" s="185" t="str">
        <f>IF(Personnel!$C64="Cost Share",Personnel!A64,"")</f>
        <v/>
      </c>
      <c r="B108" s="48">
        <f>ROUND(IF(Personnel!$C64="Cost Share",((Personnel!F64/12)*Personnel!$D64*Personnel!F$74),0),0)</f>
        <v>0</v>
      </c>
      <c r="C108" s="48">
        <f>ROUND(IF(Personnel!$C64="Cost Share",((Personnel!G64/12)*Personnel!$D64*Personnel!G$74),0),0)</f>
        <v>0</v>
      </c>
      <c r="D108" s="48">
        <f>ROUND(IF(Personnel!$C64="Cost Share",((Personnel!H64/12)*Personnel!$D64*Personnel!H$74),0),0)</f>
        <v>0</v>
      </c>
      <c r="E108" s="48">
        <f>ROUND(IF(Personnel!$C64="Cost Share",((Personnel!I64/12)*Personnel!$D64*Personnel!I$74),0),0)</f>
        <v>0</v>
      </c>
      <c r="F108" s="48">
        <f>ROUND(IF(Personnel!$C64="Cost Share",((Personnel!J64/12)*Personnel!$D64*Personnel!J$74),0),0)</f>
        <v>0</v>
      </c>
      <c r="H108" s="48">
        <f>IF($A64="Graduate Assistant (GA)",('FTE Table'!B64+'FTE Table'!B107)*'Rate Table'!#REF!,0)</f>
        <v>0</v>
      </c>
      <c r="I108" s="48">
        <f>IF($A64="Graduate Assistant (GA)",('FTE Table'!C64+'FTE Table'!C107)*'Rate Table'!#REF!,0)</f>
        <v>0</v>
      </c>
      <c r="J108" s="48">
        <f>IF($A64="Graduate Assistant (GA)",('FTE Table'!D64+'FTE Table'!D107)*'Rate Table'!#REF!,0)</f>
        <v>0</v>
      </c>
      <c r="K108" s="48">
        <f>IF($A64="Graduate Assistant (GA)",('FTE Table'!E64+'FTE Table'!E107)*'Rate Table'!#REF!,0)</f>
        <v>0</v>
      </c>
      <c r="L108" s="48">
        <f>IF($A64="Graduate Assistant (GA)",('FTE Table'!F64+'FTE Table'!F107)*'Rate Table'!#REF!,0)</f>
        <v>0</v>
      </c>
      <c r="M108" s="49"/>
      <c r="N108" s="48">
        <f>IF($B108&gt;0,2080*'FTE Table'!B107,0)</f>
        <v>0</v>
      </c>
      <c r="O108" s="48">
        <f>IF($B108&gt;0,2080*'FTE Table'!C107,0)</f>
        <v>0</v>
      </c>
      <c r="P108" s="48">
        <f>IF($B108&gt;0,2080*'FTE Table'!D107,0)</f>
        <v>0</v>
      </c>
      <c r="Q108" s="48">
        <f>IF($B108&gt;0,2080*'FTE Table'!E107,0)</f>
        <v>0</v>
      </c>
      <c r="R108" s="48">
        <f>IF($B108&gt;0,2080*'FTE Table'!F107,0)</f>
        <v>0</v>
      </c>
    </row>
    <row r="109" spans="1:18" x14ac:dyDescent="0.3">
      <c r="A109" s="185" t="str">
        <f>IF(Personnel!$C65="Cost Share",Personnel!A65,"")</f>
        <v/>
      </c>
      <c r="B109" s="48">
        <f>ROUND(IF(Personnel!$C65="Cost Share",((Personnel!F65/12)*Personnel!$D65*Personnel!F$74),0),0)</f>
        <v>0</v>
      </c>
      <c r="C109" s="48">
        <f>ROUND(IF(Personnel!$C65="Cost Share",((Personnel!G65/12)*Personnel!$D65*Personnel!G$74),0),0)</f>
        <v>0</v>
      </c>
      <c r="D109" s="48">
        <f>ROUND(IF(Personnel!$C65="Cost Share",((Personnel!H65/12)*Personnel!$D65*Personnel!H$74),0),0)</f>
        <v>0</v>
      </c>
      <c r="E109" s="48">
        <f>ROUND(IF(Personnel!$C65="Cost Share",((Personnel!I65/12)*Personnel!$D65*Personnel!I$74),0),0)</f>
        <v>0</v>
      </c>
      <c r="F109" s="48">
        <f>ROUND(IF(Personnel!$C65="Cost Share",((Personnel!J65/12)*Personnel!$D65*Personnel!J$74),0),0)</f>
        <v>0</v>
      </c>
      <c r="H109" s="48">
        <f>IF($A65="Graduate Assistant (GA)",('FTE Table'!B65+'FTE Table'!B108)*'Rate Table'!#REF!,0)</f>
        <v>0</v>
      </c>
      <c r="I109" s="48">
        <f>IF($A65="Graduate Assistant (GA)",('FTE Table'!C65+'FTE Table'!C108)*'Rate Table'!#REF!,0)</f>
        <v>0</v>
      </c>
      <c r="J109" s="48">
        <f>IF($A65="Graduate Assistant (GA)",('FTE Table'!D65+'FTE Table'!D108)*'Rate Table'!#REF!,0)</f>
        <v>0</v>
      </c>
      <c r="K109" s="48">
        <f>IF($A65="Graduate Assistant (GA)",('FTE Table'!E65+'FTE Table'!E108)*'Rate Table'!#REF!,0)</f>
        <v>0</v>
      </c>
      <c r="L109" s="48">
        <f>IF($A65="Graduate Assistant (GA)",('FTE Table'!F65+'FTE Table'!F108)*'Rate Table'!#REF!,0)</f>
        <v>0</v>
      </c>
      <c r="M109" s="49"/>
      <c r="N109" s="48">
        <f>IF($B109&gt;0,2080*'FTE Table'!B108,0)</f>
        <v>0</v>
      </c>
      <c r="O109" s="48">
        <f>IF($B109&gt;0,2080*'FTE Table'!C108,0)</f>
        <v>0</v>
      </c>
      <c r="P109" s="48">
        <f>IF($B109&gt;0,2080*'FTE Table'!D108,0)</f>
        <v>0</v>
      </c>
      <c r="Q109" s="48">
        <f>IF($B109&gt;0,2080*'FTE Table'!E108,0)</f>
        <v>0</v>
      </c>
      <c r="R109" s="48">
        <f>IF($B109&gt;0,2080*'FTE Table'!F108,0)</f>
        <v>0</v>
      </c>
    </row>
    <row r="110" spans="1:18" x14ac:dyDescent="0.3">
      <c r="A110" s="185" t="str">
        <f>IF(Personnel!$C66="Cost Share",Personnel!A66,"")</f>
        <v/>
      </c>
      <c r="B110" s="48">
        <f>ROUND(IF(Personnel!$C66="Cost Share",((Personnel!F66/12)*Personnel!$D66*Personnel!F$74),0),0)</f>
        <v>0</v>
      </c>
      <c r="C110" s="48">
        <f>ROUND(IF(Personnel!$C66="Cost Share",((Personnel!G66/12)*Personnel!$D66*Personnel!G$74),0),0)</f>
        <v>0</v>
      </c>
      <c r="D110" s="48">
        <f>ROUND(IF(Personnel!$C66="Cost Share",((Personnel!H66/12)*Personnel!$D66*Personnel!H$74),0),0)</f>
        <v>0</v>
      </c>
      <c r="E110" s="48">
        <f>ROUND(IF(Personnel!$C66="Cost Share",((Personnel!I66/12)*Personnel!$D66*Personnel!I$74),0),0)</f>
        <v>0</v>
      </c>
      <c r="F110" s="48">
        <f>ROUND(IF(Personnel!$C66="Cost Share",((Personnel!J66/12)*Personnel!$D66*Personnel!J$74),0),0)</f>
        <v>0</v>
      </c>
      <c r="H110" s="48">
        <f>IF($A66="Graduate Assistant (GA)",('FTE Table'!B66+'FTE Table'!B109)*'Rate Table'!#REF!,0)</f>
        <v>0</v>
      </c>
      <c r="I110" s="48">
        <f>IF($A66="Graduate Assistant (GA)",('FTE Table'!C66+'FTE Table'!C109)*'Rate Table'!#REF!,0)</f>
        <v>0</v>
      </c>
      <c r="J110" s="48">
        <f>IF($A66="Graduate Assistant (GA)",('FTE Table'!D66+'FTE Table'!D109)*'Rate Table'!#REF!,0)</f>
        <v>0</v>
      </c>
      <c r="K110" s="48">
        <f>IF($A66="Graduate Assistant (GA)",('FTE Table'!E66+'FTE Table'!E109)*'Rate Table'!#REF!,0)</f>
        <v>0</v>
      </c>
      <c r="L110" s="48">
        <f>IF($A66="Graduate Assistant (GA)",('FTE Table'!F66+'FTE Table'!F109)*'Rate Table'!#REF!,0)</f>
        <v>0</v>
      </c>
      <c r="M110" s="49"/>
      <c r="N110" s="48">
        <f>IF($B110&gt;0,2080*'FTE Table'!B109,0)</f>
        <v>0</v>
      </c>
      <c r="O110" s="48">
        <f>IF($B110&gt;0,2080*'FTE Table'!C109,0)</f>
        <v>0</v>
      </c>
      <c r="P110" s="48">
        <f>IF($B110&gt;0,2080*'FTE Table'!D109,0)</f>
        <v>0</v>
      </c>
      <c r="Q110" s="48">
        <f>IF($B110&gt;0,2080*'FTE Table'!E109,0)</f>
        <v>0</v>
      </c>
      <c r="R110" s="48">
        <f>IF($B110&gt;0,2080*'FTE Table'!F109,0)</f>
        <v>0</v>
      </c>
    </row>
    <row r="111" spans="1:18" x14ac:dyDescent="0.3">
      <c r="A111" s="163" t="s">
        <v>157</v>
      </c>
      <c r="B111" s="162">
        <f>ROUND(SUM(B107:B110),0)</f>
        <v>0</v>
      </c>
      <c r="C111" s="162">
        <f>ROUND(SUM(C107:C110),0)</f>
        <v>0</v>
      </c>
      <c r="D111" s="162">
        <f>ROUND(SUM(D107:D110),0)</f>
        <v>0</v>
      </c>
      <c r="E111" s="162">
        <f>ROUND(SUM(E107:E110),0)</f>
        <v>0</v>
      </c>
      <c r="F111" s="162">
        <f>ROUND(SUM(F107:F110),0)</f>
        <v>0</v>
      </c>
      <c r="G111" s="162"/>
      <c r="H111" s="162">
        <f>ROUND(SUM(H107:H110),0)</f>
        <v>0</v>
      </c>
      <c r="I111" s="162">
        <f>ROUND(SUM(I107:I110),0)</f>
        <v>0</v>
      </c>
      <c r="J111" s="162">
        <f>ROUND(SUM(J107:J110),0)</f>
        <v>0</v>
      </c>
      <c r="K111" s="162">
        <f>ROUND(SUM(K107:K110),0)</f>
        <v>0</v>
      </c>
      <c r="L111" s="162">
        <f>ROUND(SUM(L107:L110),0)</f>
        <v>0</v>
      </c>
      <c r="M111" s="162"/>
      <c r="N111" s="162">
        <f>SUM(N107:N110)</f>
        <v>0</v>
      </c>
      <c r="O111" s="162">
        <f>SUM(O107:O110)</f>
        <v>0</v>
      </c>
      <c r="P111" s="162">
        <f>SUM(P107:P110)</f>
        <v>0</v>
      </c>
      <c r="Q111" s="162">
        <f>SUM(Q107:Q110)</f>
        <v>0</v>
      </c>
      <c r="R111" s="162">
        <f>SUM(R107:R110)</f>
        <v>0</v>
      </c>
    </row>
    <row r="113" spans="1:18" ht="18" customHeight="1" x14ac:dyDescent="0.35">
      <c r="A113" s="164" t="s">
        <v>158</v>
      </c>
      <c r="B113" s="165">
        <f>ROUND(B111+B105+B99+B93+B84,0)</f>
        <v>0</v>
      </c>
      <c r="C113" s="165">
        <f>ROUND(C111+C105+C99+C93+C84,0)</f>
        <v>0</v>
      </c>
      <c r="D113" s="165">
        <f>ROUND(D111+D105+D99+D93+D84,0)</f>
        <v>0</v>
      </c>
      <c r="E113" s="165">
        <f>ROUND(E111+E105+E99+E93+E84,0)</f>
        <v>0</v>
      </c>
      <c r="F113" s="165">
        <f>ROUND(F111+F105+F99+F93+F84,0)</f>
        <v>0</v>
      </c>
      <c r="G113" s="165"/>
      <c r="H113" s="165">
        <f>ROUND(H111+H105+H99+H93+H84,0)</f>
        <v>0</v>
      </c>
      <c r="I113" s="165">
        <f>ROUND(I111+I105+I99+I93+I84,0)</f>
        <v>0</v>
      </c>
      <c r="J113" s="165">
        <f>ROUND(J111+J105+J99+J93+J84,0)</f>
        <v>0</v>
      </c>
      <c r="K113" s="165">
        <f>ROUND(K111+K105+K99+K93+K84,0)</f>
        <v>0</v>
      </c>
      <c r="L113" s="165">
        <f>ROUND(L111+L105+L99+L93+L84,0)</f>
        <v>0</v>
      </c>
      <c r="M113" s="166"/>
      <c r="N113" s="165">
        <f>N111+N105+N99+N93+N84</f>
        <v>0</v>
      </c>
      <c r="O113" s="165">
        <f>O111+O105+O99+O93+O84</f>
        <v>0</v>
      </c>
      <c r="P113" s="165">
        <f>P111+P105+P99+P93+P84</f>
        <v>0</v>
      </c>
      <c r="Q113" s="165">
        <f>Q111+Q105+Q99+Q93+Q84</f>
        <v>0</v>
      </c>
      <c r="R113" s="165">
        <f>R111+R105+R99+R93+R84</f>
        <v>0</v>
      </c>
    </row>
  </sheetData>
  <sheetProtection algorithmName="SHA-512" hashValue="JuNm0VxsluesvonbiibLcAcNxPh2+aDAaK6dmc3CCFwPSMBHgkBHlSiUz7r/xXyvKVYcZxEzT/iMKBsnbBoiEg==" saltValue="u3F0gVRp5V+5XlVAk0rJYA==" spinCount="100000" sheet="1" objects="1" scenarios="1"/>
  <mergeCells count="19">
    <mergeCell ref="B106:R106"/>
    <mergeCell ref="B100:R100"/>
    <mergeCell ref="B62:R62"/>
    <mergeCell ref="B94:R94"/>
    <mergeCell ref="B85:R85"/>
    <mergeCell ref="T1:X1"/>
    <mergeCell ref="B78:R78"/>
    <mergeCell ref="H75:L75"/>
    <mergeCell ref="B37:R37"/>
    <mergeCell ref="Z1:AD1"/>
    <mergeCell ref="H1:L1"/>
    <mergeCell ref="B54:R54"/>
    <mergeCell ref="B46:R46"/>
    <mergeCell ref="N75:R75"/>
    <mergeCell ref="B1:F1"/>
    <mergeCell ref="N1:R1"/>
    <mergeCell ref="B73:R73"/>
    <mergeCell ref="B75:F75"/>
    <mergeCell ref="B4:R4"/>
  </mergeCells>
  <pageMargins left="0.7" right="0.7" top="0.75" bottom="0.75" header="0.3" footer="0.3"/>
  <pageSetup scale="36" orientation="landscape"/>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12"/>
  <sheetViews>
    <sheetView zoomScale="120" zoomScaleNormal="120" workbookViewId="0">
      <selection activeCell="A2" sqref="A2"/>
    </sheetView>
  </sheetViews>
  <sheetFormatPr defaultColWidth="8.6640625" defaultRowHeight="14.4" x14ac:dyDescent="0.3"/>
  <cols>
    <col min="1" max="1" width="28.6640625" customWidth="1"/>
    <col min="8" max="12" width="13" hidden="1" customWidth="1"/>
  </cols>
  <sheetData>
    <row r="1" spans="1:12" ht="18" customHeight="1" x14ac:dyDescent="0.35">
      <c r="B1" s="412" t="s">
        <v>165</v>
      </c>
      <c r="C1" s="397"/>
      <c r="D1" s="397"/>
      <c r="E1" s="397"/>
      <c r="F1" s="397"/>
      <c r="G1" s="337"/>
      <c r="H1" s="414" t="s">
        <v>166</v>
      </c>
      <c r="I1" s="397"/>
      <c r="J1" s="397"/>
      <c r="K1" s="397"/>
      <c r="L1" s="397"/>
    </row>
    <row r="2" spans="1:12" ht="15.6" customHeight="1" x14ac:dyDescent="0.3">
      <c r="B2" s="337"/>
      <c r="C2" s="337"/>
      <c r="D2" s="338"/>
      <c r="E2" s="337"/>
      <c r="F2" s="337"/>
      <c r="G2" s="337"/>
      <c r="H2" s="337"/>
      <c r="I2" s="337"/>
      <c r="J2" s="337"/>
      <c r="K2" s="337"/>
      <c r="L2" s="337"/>
    </row>
    <row r="3" spans="1:12" ht="15.6" customHeight="1" x14ac:dyDescent="0.3">
      <c r="B3" s="23" t="str">
        <f>'Labor Detail'!N3</f>
        <v>Year 1</v>
      </c>
      <c r="C3" s="23" t="str">
        <f>'Labor Detail'!O3</f>
        <v>Year 2</v>
      </c>
      <c r="D3" s="23" t="str">
        <f>'Labor Detail'!P3</f>
        <v>Year 3</v>
      </c>
      <c r="E3" s="23" t="str">
        <f>'Labor Detail'!Q3</f>
        <v>Year 4</v>
      </c>
      <c r="F3" s="23" t="str">
        <f>'Labor Detail'!R3</f>
        <v>Year 5</v>
      </c>
      <c r="H3" s="23" t="str">
        <f>'Labor Detail'!Z3</f>
        <v>Year 1</v>
      </c>
      <c r="I3" s="23" t="str">
        <f>'Labor Detail'!AA3</f>
        <v>Year 2</v>
      </c>
      <c r="J3" s="23" t="str">
        <f>'Labor Detail'!AB3</f>
        <v>Year 3</v>
      </c>
      <c r="K3" s="23" t="str">
        <f>'Labor Detail'!AC3</f>
        <v>Year 4</v>
      </c>
      <c r="L3" s="23" t="str">
        <f>'Labor Detail'!AD3</f>
        <v>Year 5</v>
      </c>
    </row>
    <row r="4" spans="1:12" ht="15.6" customHeight="1" x14ac:dyDescent="0.3">
      <c r="A4" s="192" t="s">
        <v>122</v>
      </c>
      <c r="B4" s="416" t="s">
        <v>104</v>
      </c>
      <c r="C4" s="399"/>
      <c r="D4" s="399"/>
      <c r="E4" s="399"/>
      <c r="F4" s="400"/>
      <c r="H4" s="46"/>
      <c r="I4" s="46"/>
      <c r="J4" s="46"/>
      <c r="K4" s="46"/>
      <c r="L4" s="46"/>
    </row>
    <row r="5" spans="1:12" x14ac:dyDescent="0.3">
      <c r="A5" s="54">
        <f>'Labor Detail'!A5</f>
        <v>0</v>
      </c>
      <c r="B5" s="149">
        <f>IF(Personnel!$C5&lt;&gt;"Cost Share",Personnel!F5/Personnel!$E5,0)</f>
        <v>0</v>
      </c>
      <c r="C5" s="149">
        <f>IF(Personnel!$C5&lt;&gt;"Cost Share",Personnel!G5/Personnel!$E5,0)</f>
        <v>0</v>
      </c>
      <c r="D5" s="149">
        <f>IF(Personnel!$C5&lt;&gt;"Cost Share",Personnel!H5/Personnel!$E5,0)</f>
        <v>0</v>
      </c>
      <c r="E5" s="149">
        <f>IF(Personnel!$C5&lt;&gt;"Cost Share",Personnel!I5/Personnel!$E5,0)</f>
        <v>0</v>
      </c>
      <c r="F5" s="149">
        <f>IF(Personnel!$C5&lt;&gt;"Cost Share",Personnel!J5/Personnel!$E5,0)</f>
        <v>0</v>
      </c>
      <c r="G5" s="150"/>
      <c r="H5" s="149">
        <f>IF(Personnel!$D$2="Yes",('Labor Detail'!T5/(Personnel!$D5*Personnel!F$74)),0)</f>
        <v>0</v>
      </c>
      <c r="I5" s="149">
        <f>IF(Personnel!$D$2="Yes",('Labor Detail'!U5/(Personnel!$D5*Personnel!G$74)),0)</f>
        <v>0</v>
      </c>
      <c r="J5" s="149">
        <f>IF(Personnel!$D$2="Yes",('Labor Detail'!V5/(Personnel!$D5*Personnel!H$74)),0)</f>
        <v>0</v>
      </c>
      <c r="K5" s="149">
        <f>IF(Personnel!$D$2="Yes",('Labor Detail'!W5/(Personnel!$D5*Personnel!I$74)),0)</f>
        <v>0</v>
      </c>
      <c r="L5" s="149">
        <f>IF(Personnel!$D$2="Yes",('Labor Detail'!X5/(Personnel!$D5*Personnel!J$74)),0)</f>
        <v>0</v>
      </c>
    </row>
    <row r="6" spans="1:12" x14ac:dyDescent="0.3">
      <c r="A6" s="54">
        <f>'Labor Detail'!A6</f>
        <v>0</v>
      </c>
      <c r="B6" s="149">
        <f>IF(Personnel!$C6&lt;&gt;"Cost Share",Personnel!F6/Personnel!$E6,0)</f>
        <v>0</v>
      </c>
      <c r="C6" s="149">
        <f>IF(Personnel!$C6&lt;&gt;"Cost Share",Personnel!G6/Personnel!$E6,0)</f>
        <v>0</v>
      </c>
      <c r="D6" s="149">
        <f>IF(Personnel!$C6&lt;&gt;"Cost Share",Personnel!H6/Personnel!$E6,0)</f>
        <v>0</v>
      </c>
      <c r="E6" s="149">
        <f>IF(Personnel!$C6&lt;&gt;"Cost Share",Personnel!I6/Personnel!$E6,0)</f>
        <v>0</v>
      </c>
      <c r="F6" s="149">
        <f>IF(Personnel!$C6&lt;&gt;"Cost Share",Personnel!J6/Personnel!$E6,0)</f>
        <v>0</v>
      </c>
      <c r="G6" s="150"/>
      <c r="H6" s="149">
        <f>IF(Personnel!$D$2="Yes",('Labor Detail'!T6/(Personnel!$D6*Personnel!F$74)),0)</f>
        <v>0</v>
      </c>
      <c r="I6" s="149">
        <f>IF(Personnel!$D$2="Yes",('Labor Detail'!U6/(Personnel!$D6*Personnel!G$74)),0)</f>
        <v>0</v>
      </c>
      <c r="J6" s="149">
        <f>IF(Personnel!$D$2="Yes",('Labor Detail'!V6/(Personnel!$D6*Personnel!H$74)),0)</f>
        <v>0</v>
      </c>
      <c r="K6" s="149">
        <f>IF(Personnel!$D$2="Yes",('Labor Detail'!W6/(Personnel!$D6*Personnel!I$74)),0)</f>
        <v>0</v>
      </c>
      <c r="L6" s="149">
        <f>IF(Personnel!$D$2="Yes",('Labor Detail'!X6/(Personnel!$D6*Personnel!J$74)),0)</f>
        <v>0</v>
      </c>
    </row>
    <row r="7" spans="1:12" x14ac:dyDescent="0.3">
      <c r="A7" s="54">
        <f>'Labor Detail'!A7</f>
        <v>0</v>
      </c>
      <c r="B7" s="149">
        <f>IF(Personnel!$C7&lt;&gt;"Cost Share",Personnel!F7/Personnel!$E7,0)</f>
        <v>0</v>
      </c>
      <c r="C7" s="149">
        <f>IF(Personnel!$C7&lt;&gt;"Cost Share",Personnel!G7/Personnel!$E7,0)</f>
        <v>0</v>
      </c>
      <c r="D7" s="149">
        <f>IF(Personnel!$C7&lt;&gt;"Cost Share",Personnel!H7/Personnel!$E7,0)</f>
        <v>0</v>
      </c>
      <c r="E7" s="149">
        <f>IF(Personnel!$C7&lt;&gt;"Cost Share",Personnel!I7/Personnel!$E7,0)</f>
        <v>0</v>
      </c>
      <c r="F7" s="149">
        <f>IF(Personnel!$C7&lt;&gt;"Cost Share",Personnel!J7/Personnel!$E7,0)</f>
        <v>0</v>
      </c>
      <c r="G7" s="150"/>
      <c r="H7" s="149">
        <f>IF(Personnel!$D$2="Yes",('Labor Detail'!T7/(Personnel!$D7*Personnel!F$74)),0)</f>
        <v>0</v>
      </c>
      <c r="I7" s="149">
        <f>IF(Personnel!$D$2="Yes",('Labor Detail'!U7/(Personnel!$D7*Personnel!G$74)),0)</f>
        <v>0</v>
      </c>
      <c r="J7" s="149">
        <f>IF(Personnel!$D$2="Yes",('Labor Detail'!V7/(Personnel!$D7*Personnel!H$74)),0)</f>
        <v>0</v>
      </c>
      <c r="K7" s="149">
        <f>IF(Personnel!$D$2="Yes",('Labor Detail'!W7/(Personnel!$D7*Personnel!I$74)),0)</f>
        <v>0</v>
      </c>
      <c r="L7" s="149">
        <f>IF(Personnel!$D$2="Yes",('Labor Detail'!X7/(Personnel!$D7*Personnel!J$74)),0)</f>
        <v>0</v>
      </c>
    </row>
    <row r="8" spans="1:12" x14ac:dyDescent="0.3">
      <c r="A8" s="54">
        <f>'Labor Detail'!A8</f>
        <v>0</v>
      </c>
      <c r="B8" s="149">
        <f>IF(Personnel!$C8&lt;&gt;"Cost Share",Personnel!F8/Personnel!$E8,0)</f>
        <v>0</v>
      </c>
      <c r="C8" s="149">
        <f>IF(Personnel!$C8&lt;&gt;"Cost Share",Personnel!G8/Personnel!$E8,0)</f>
        <v>0</v>
      </c>
      <c r="D8" s="149">
        <f>IF(Personnel!$C8&lt;&gt;"Cost Share",Personnel!H8/Personnel!$E8,0)</f>
        <v>0</v>
      </c>
      <c r="E8" s="149">
        <f>IF(Personnel!$C8&lt;&gt;"Cost Share",Personnel!I8/Personnel!$E8,0)</f>
        <v>0</v>
      </c>
      <c r="F8" s="149">
        <f>IF(Personnel!$C8&lt;&gt;"Cost Share",Personnel!J8/Personnel!$E8,0)</f>
        <v>0</v>
      </c>
      <c r="G8" s="150"/>
      <c r="H8" s="149">
        <f>IF(Personnel!$D$2="Yes",('Labor Detail'!T8/(Personnel!$D8*Personnel!F$74)),0)</f>
        <v>0</v>
      </c>
      <c r="I8" s="149">
        <f>IF(Personnel!$D$2="Yes",('Labor Detail'!U8/(Personnel!$D8*Personnel!G$74)),0)</f>
        <v>0</v>
      </c>
      <c r="J8" s="149">
        <f>IF(Personnel!$D$2="Yes",('Labor Detail'!V8/(Personnel!$D8*Personnel!H$74)),0)</f>
        <v>0</v>
      </c>
      <c r="K8" s="149">
        <f>IF(Personnel!$D$2="Yes",('Labor Detail'!W8/(Personnel!$D8*Personnel!I$74)),0)</f>
        <v>0</v>
      </c>
      <c r="L8" s="149">
        <f>IF(Personnel!$D$2="Yes",('Labor Detail'!X8/(Personnel!$D8*Personnel!J$74)),0)</f>
        <v>0</v>
      </c>
    </row>
    <row r="9" spans="1:12" x14ac:dyDescent="0.3">
      <c r="A9" s="54">
        <f>'Labor Detail'!A9</f>
        <v>0</v>
      </c>
      <c r="B9" s="149">
        <f>IF(Personnel!$C9&lt;&gt;"Cost Share",Personnel!F9/Personnel!$E9,0)</f>
        <v>0</v>
      </c>
      <c r="C9" s="149">
        <f>IF(Personnel!$C9&lt;&gt;"Cost Share",Personnel!G9/Personnel!$E9,0)</f>
        <v>0</v>
      </c>
      <c r="D9" s="149">
        <f>IF(Personnel!$C9&lt;&gt;"Cost Share",Personnel!H9/Personnel!$E9,0)</f>
        <v>0</v>
      </c>
      <c r="E9" s="149">
        <f>IF(Personnel!$C9&lt;&gt;"Cost Share",Personnel!I9/Personnel!$E9,0)</f>
        <v>0</v>
      </c>
      <c r="F9" s="149">
        <f>IF(Personnel!$C9&lt;&gt;"Cost Share",Personnel!J9/Personnel!$E9,0)</f>
        <v>0</v>
      </c>
      <c r="G9" s="150"/>
      <c r="H9" s="149">
        <f>IF(Personnel!$D$2="Yes",('Labor Detail'!T9/(Personnel!$D9*Personnel!F$74)),0)</f>
        <v>0</v>
      </c>
      <c r="I9" s="149">
        <f>IF(Personnel!$D$2="Yes",('Labor Detail'!U9/(Personnel!$D9*Personnel!G$74)),0)</f>
        <v>0</v>
      </c>
      <c r="J9" s="149">
        <f>IF(Personnel!$D$2="Yes",('Labor Detail'!V9/(Personnel!$D9*Personnel!H$74)),0)</f>
        <v>0</v>
      </c>
      <c r="K9" s="149">
        <f>IF(Personnel!$D$2="Yes",('Labor Detail'!W9/(Personnel!$D9*Personnel!I$74)),0)</f>
        <v>0</v>
      </c>
      <c r="L9" s="149">
        <f>IF(Personnel!$D$2="Yes",('Labor Detail'!X9/(Personnel!$D9*Personnel!J$74)),0)</f>
        <v>0</v>
      </c>
    </row>
    <row r="10" spans="1:12" x14ac:dyDescent="0.3">
      <c r="A10" s="54">
        <f>'Labor Detail'!A10</f>
        <v>0</v>
      </c>
      <c r="B10" s="149">
        <f>IF(Personnel!$C10&lt;&gt;"Cost Share",Personnel!F10/Personnel!$E10,0)</f>
        <v>0</v>
      </c>
      <c r="C10" s="149">
        <f>IF(Personnel!$C10&lt;&gt;"Cost Share",Personnel!G10/Personnel!$E10,0)</f>
        <v>0</v>
      </c>
      <c r="D10" s="149">
        <f>IF(Personnel!$C10&lt;&gt;"Cost Share",Personnel!H10/Personnel!$E10,0)</f>
        <v>0</v>
      </c>
      <c r="E10" s="149">
        <f>IF(Personnel!$C10&lt;&gt;"Cost Share",Personnel!I10/Personnel!$E10,0)</f>
        <v>0</v>
      </c>
      <c r="F10" s="149">
        <f>IF(Personnel!$C10&lt;&gt;"Cost Share",Personnel!J10/Personnel!$E10,0)</f>
        <v>0</v>
      </c>
      <c r="G10" s="150"/>
      <c r="H10" s="149">
        <f>IF(Personnel!$D$2="Yes",('Labor Detail'!T10/(Personnel!$D10*Personnel!F$74)),0)</f>
        <v>0</v>
      </c>
      <c r="I10" s="149">
        <f>IF(Personnel!$D$2="Yes",('Labor Detail'!U10/(Personnel!$D10*Personnel!G$74)),0)</f>
        <v>0</v>
      </c>
      <c r="J10" s="149">
        <f>IF(Personnel!$D$2="Yes",('Labor Detail'!V10/(Personnel!$D10*Personnel!H$74)),0)</f>
        <v>0</v>
      </c>
      <c r="K10" s="149">
        <f>IF(Personnel!$D$2="Yes",('Labor Detail'!W10/(Personnel!$D10*Personnel!I$74)),0)</f>
        <v>0</v>
      </c>
      <c r="L10" s="149">
        <f>IF(Personnel!$D$2="Yes",('Labor Detail'!X10/(Personnel!$D10*Personnel!J$74)),0)</f>
        <v>0</v>
      </c>
    </row>
    <row r="11" spans="1:12" x14ac:dyDescent="0.3">
      <c r="A11" s="54">
        <f>'Labor Detail'!A11</f>
        <v>0</v>
      </c>
      <c r="B11" s="149">
        <f>IF(Personnel!$C11&lt;&gt;"Cost Share",Personnel!F11/Personnel!$E11,0)</f>
        <v>0</v>
      </c>
      <c r="C11" s="149">
        <f>IF(Personnel!$C11&lt;&gt;"Cost Share",Personnel!G11/Personnel!$E11,0)</f>
        <v>0</v>
      </c>
      <c r="D11" s="149">
        <f>IF(Personnel!$C11&lt;&gt;"Cost Share",Personnel!H11/Personnel!$E11,0)</f>
        <v>0</v>
      </c>
      <c r="E11" s="149">
        <f>IF(Personnel!$C11&lt;&gt;"Cost Share",Personnel!I11/Personnel!$E11,0)</f>
        <v>0</v>
      </c>
      <c r="F11" s="149">
        <f>IF(Personnel!$C11&lt;&gt;"Cost Share",Personnel!J11/Personnel!$E11,0)</f>
        <v>0</v>
      </c>
      <c r="G11" s="150"/>
      <c r="H11" s="149">
        <f>IF(Personnel!$D$2="Yes",('Labor Detail'!T11/(Personnel!$D11*Personnel!F$74)),0)</f>
        <v>0</v>
      </c>
      <c r="I11" s="149">
        <f>IF(Personnel!$D$2="Yes",('Labor Detail'!U11/(Personnel!$D11*Personnel!G$74)),0)</f>
        <v>0</v>
      </c>
      <c r="J11" s="149">
        <f>IF(Personnel!$D$2="Yes",('Labor Detail'!V11/(Personnel!$D11*Personnel!H$74)),0)</f>
        <v>0</v>
      </c>
      <c r="K11" s="149">
        <f>IF(Personnel!$D$2="Yes",('Labor Detail'!W11/(Personnel!$D11*Personnel!I$74)),0)</f>
        <v>0</v>
      </c>
      <c r="L11" s="149">
        <f>IF(Personnel!$D$2="Yes",('Labor Detail'!X11/(Personnel!$D11*Personnel!J$74)),0)</f>
        <v>0</v>
      </c>
    </row>
    <row r="12" spans="1:12" x14ac:dyDescent="0.3">
      <c r="A12" s="54">
        <f>'Labor Detail'!A12</f>
        <v>0</v>
      </c>
      <c r="B12" s="149">
        <f>IF(Personnel!$C12&lt;&gt;"Cost Share",Personnel!F12/Personnel!$E12,0)</f>
        <v>0</v>
      </c>
      <c r="C12" s="149">
        <f>IF(Personnel!$C12&lt;&gt;"Cost Share",Personnel!G12/Personnel!$E12,0)</f>
        <v>0</v>
      </c>
      <c r="D12" s="149">
        <f>IF(Personnel!$C12&lt;&gt;"Cost Share",Personnel!H12/Personnel!$E12,0)</f>
        <v>0</v>
      </c>
      <c r="E12" s="149">
        <f>IF(Personnel!$C12&lt;&gt;"Cost Share",Personnel!I12/Personnel!$E12,0)</f>
        <v>0</v>
      </c>
      <c r="F12" s="149">
        <f>IF(Personnel!$C12&lt;&gt;"Cost Share",Personnel!J12/Personnel!$E12,0)</f>
        <v>0</v>
      </c>
      <c r="G12" s="150"/>
      <c r="H12" s="149">
        <f>IF(Personnel!$D$2="Yes",('Labor Detail'!T12/(Personnel!$D12*Personnel!F$74)),0)</f>
        <v>0</v>
      </c>
      <c r="I12" s="149">
        <f>IF(Personnel!$D$2="Yes",('Labor Detail'!U12/(Personnel!$D12*Personnel!G$74)),0)</f>
        <v>0</v>
      </c>
      <c r="J12" s="149">
        <f>IF(Personnel!$D$2="Yes",('Labor Detail'!V12/(Personnel!$D12*Personnel!H$74)),0)</f>
        <v>0</v>
      </c>
      <c r="K12" s="149">
        <f>IF(Personnel!$D$2="Yes",('Labor Detail'!W12/(Personnel!$D12*Personnel!I$74)),0)</f>
        <v>0</v>
      </c>
      <c r="L12" s="149">
        <f>IF(Personnel!$D$2="Yes",('Labor Detail'!X12/(Personnel!$D12*Personnel!J$74)),0)</f>
        <v>0</v>
      </c>
    </row>
    <row r="13" spans="1:12" x14ac:dyDescent="0.3">
      <c r="A13" s="54">
        <f>'Labor Detail'!A13</f>
        <v>0</v>
      </c>
      <c r="B13" s="149">
        <f>IF(Personnel!$C13&lt;&gt;"Cost Share",Personnel!F13/Personnel!$E13,0)</f>
        <v>0</v>
      </c>
      <c r="C13" s="149">
        <f>IF(Personnel!$C13&lt;&gt;"Cost Share",Personnel!G13/Personnel!$E13,0)</f>
        <v>0</v>
      </c>
      <c r="D13" s="149">
        <f>IF(Personnel!$C13&lt;&gt;"Cost Share",Personnel!H13/Personnel!$E13,0)</f>
        <v>0</v>
      </c>
      <c r="E13" s="149">
        <f>IF(Personnel!$C13&lt;&gt;"Cost Share",Personnel!I13/Personnel!$E13,0)</f>
        <v>0</v>
      </c>
      <c r="F13" s="149">
        <f>IF(Personnel!$C13&lt;&gt;"Cost Share",Personnel!J13/Personnel!$E13,0)</f>
        <v>0</v>
      </c>
      <c r="G13" s="150"/>
      <c r="H13" s="149">
        <f>IF(Personnel!$D$2="Yes",('Labor Detail'!T13/(Personnel!$D13*Personnel!F$74)),0)</f>
        <v>0</v>
      </c>
      <c r="I13" s="149">
        <f>IF(Personnel!$D$2="Yes",('Labor Detail'!U13/(Personnel!$D13*Personnel!G$74)),0)</f>
        <v>0</v>
      </c>
      <c r="J13" s="149">
        <f>IF(Personnel!$D$2="Yes",('Labor Detail'!V13/(Personnel!$D13*Personnel!H$74)),0)</f>
        <v>0</v>
      </c>
      <c r="K13" s="149">
        <f>IF(Personnel!$D$2="Yes",('Labor Detail'!W13/(Personnel!$D13*Personnel!I$74)),0)</f>
        <v>0</v>
      </c>
      <c r="L13" s="149">
        <f>IF(Personnel!$D$2="Yes",('Labor Detail'!X13/(Personnel!$D13*Personnel!J$74)),0)</f>
        <v>0</v>
      </c>
    </row>
    <row r="14" spans="1:12" x14ac:dyDescent="0.3">
      <c r="A14" s="54">
        <f>'Labor Detail'!A14</f>
        <v>0</v>
      </c>
      <c r="B14" s="149">
        <f>IF(Personnel!$C14&lt;&gt;"Cost Share",Personnel!F14/Personnel!$E14,0)</f>
        <v>0</v>
      </c>
      <c r="C14" s="149">
        <f>IF(Personnel!$C14&lt;&gt;"Cost Share",Personnel!G14/Personnel!$E14,0)</f>
        <v>0</v>
      </c>
      <c r="D14" s="149">
        <f>IF(Personnel!$C14&lt;&gt;"Cost Share",Personnel!H14/Personnel!$E14,0)</f>
        <v>0</v>
      </c>
      <c r="E14" s="149">
        <f>IF(Personnel!$C14&lt;&gt;"Cost Share",Personnel!I14/Personnel!$E14,0)</f>
        <v>0</v>
      </c>
      <c r="F14" s="149">
        <f>IF(Personnel!$C14&lt;&gt;"Cost Share",Personnel!J14/Personnel!$E14,0)</f>
        <v>0</v>
      </c>
      <c r="G14" s="150"/>
      <c r="H14" s="149">
        <f>IF(Personnel!$D$2="Yes",('Labor Detail'!T14/(Personnel!$D14*Personnel!F$74)),0)</f>
        <v>0</v>
      </c>
      <c r="I14" s="149">
        <f>IF(Personnel!$D$2="Yes",('Labor Detail'!U14/(Personnel!$D14*Personnel!G$74)),0)</f>
        <v>0</v>
      </c>
      <c r="J14" s="149">
        <f>IF(Personnel!$D$2="Yes",('Labor Detail'!V14/(Personnel!$D14*Personnel!H$74)),0)</f>
        <v>0</v>
      </c>
      <c r="K14" s="149">
        <f>IF(Personnel!$D$2="Yes",('Labor Detail'!W14/(Personnel!$D14*Personnel!I$74)),0)</f>
        <v>0</v>
      </c>
      <c r="L14" s="149">
        <f>IF(Personnel!$D$2="Yes",('Labor Detail'!X14/(Personnel!$D14*Personnel!J$74)),0)</f>
        <v>0</v>
      </c>
    </row>
    <row r="15" spans="1:12" x14ac:dyDescent="0.3">
      <c r="A15" s="54">
        <f>'Labor Detail'!A15</f>
        <v>0</v>
      </c>
      <c r="B15" s="149">
        <f>IF(Personnel!$C15&lt;&gt;"Cost Share",Personnel!F15/Personnel!$E15,0)</f>
        <v>0</v>
      </c>
      <c r="C15" s="149">
        <f>IF(Personnel!$C15&lt;&gt;"Cost Share",Personnel!G15/Personnel!$E15,0)</f>
        <v>0</v>
      </c>
      <c r="D15" s="149">
        <f>IF(Personnel!$C15&lt;&gt;"Cost Share",Personnel!H15/Personnel!$E15,0)</f>
        <v>0</v>
      </c>
      <c r="E15" s="149">
        <f>IF(Personnel!$C15&lt;&gt;"Cost Share",Personnel!I15/Personnel!$E15,0)</f>
        <v>0</v>
      </c>
      <c r="F15" s="149">
        <f>IF(Personnel!$C15&lt;&gt;"Cost Share",Personnel!J15/Personnel!$E15,0)</f>
        <v>0</v>
      </c>
      <c r="G15" s="150"/>
      <c r="H15" s="149">
        <f>IF(Personnel!$D$2="Yes",('Labor Detail'!T15/(Personnel!$D15*Personnel!F$74)),0)</f>
        <v>0</v>
      </c>
      <c r="I15" s="149">
        <f>IF(Personnel!$D$2="Yes",('Labor Detail'!U15/(Personnel!$D15*Personnel!G$74)),0)</f>
        <v>0</v>
      </c>
      <c r="J15" s="149">
        <f>IF(Personnel!$D$2="Yes",('Labor Detail'!V15/(Personnel!$D15*Personnel!H$74)),0)</f>
        <v>0</v>
      </c>
      <c r="K15" s="149">
        <f>IF(Personnel!$D$2="Yes",('Labor Detail'!W15/(Personnel!$D15*Personnel!I$74)),0)</f>
        <v>0</v>
      </c>
      <c r="L15" s="149">
        <f>IF(Personnel!$D$2="Yes",('Labor Detail'!X15/(Personnel!$D15*Personnel!J$74)),0)</f>
        <v>0</v>
      </c>
    </row>
    <row r="16" spans="1:12" hidden="1" x14ac:dyDescent="0.3">
      <c r="A16" s="54">
        <f>'Labor Detail'!A16</f>
        <v>0</v>
      </c>
      <c r="B16" s="149">
        <f>Personnel!F16/12</f>
        <v>0</v>
      </c>
      <c r="C16" s="149">
        <f>Personnel!G16/12</f>
        <v>0</v>
      </c>
      <c r="D16" s="149">
        <f>Personnel!H16/12</f>
        <v>0</v>
      </c>
      <c r="E16" s="149">
        <f>Personnel!I16/12</f>
        <v>0</v>
      </c>
      <c r="F16" s="149">
        <f>Personnel!J16/12</f>
        <v>0</v>
      </c>
      <c r="G16" s="150"/>
      <c r="H16" s="149">
        <f>IF(Personnel!D13="Yes",('Labor Detail'!T16/(Personnel!D16*Personnel!F86)),0)</f>
        <v>0</v>
      </c>
      <c r="I16" s="149">
        <f>IF(Personnel!F13="Yes",('Labor Detail'!U16/(Personnel!F16*Personnel!G86)),0)</f>
        <v>0</v>
      </c>
      <c r="J16" s="149">
        <f>IF(Personnel!G13="Yes",('Labor Detail'!V16/(Personnel!G16*Personnel!H86)),0)</f>
        <v>0</v>
      </c>
      <c r="K16" s="149">
        <f>IF(Personnel!H13="Yes",('Labor Detail'!W16/(Personnel!H16*Personnel!I86)),0)</f>
        <v>0</v>
      </c>
      <c r="L16" s="149">
        <f>IF(Personnel!I13="Yes",('Labor Detail'!X16/(Personnel!I16*Personnel!J86)),0)</f>
        <v>0</v>
      </c>
    </row>
    <row r="17" spans="1:12" hidden="1" x14ac:dyDescent="0.3">
      <c r="A17" s="54">
        <f>'Labor Detail'!A17</f>
        <v>0</v>
      </c>
      <c r="B17" s="149">
        <f>Personnel!F17/12</f>
        <v>0</v>
      </c>
      <c r="C17" s="149">
        <f>Personnel!G17/12</f>
        <v>0</v>
      </c>
      <c r="D17" s="149">
        <f>Personnel!H17/12</f>
        <v>0</v>
      </c>
      <c r="E17" s="149">
        <f>Personnel!I17/12</f>
        <v>0</v>
      </c>
      <c r="F17" s="149">
        <f>Personnel!J17/12</f>
        <v>0</v>
      </c>
      <c r="G17" s="150"/>
      <c r="H17" s="149">
        <f>IF(Personnel!D14="Yes",('Labor Detail'!T17/(Personnel!D17*Personnel!F88)),0)</f>
        <v>0</v>
      </c>
      <c r="I17" s="149">
        <f>IF(Personnel!F14="Yes",('Labor Detail'!U17/(Personnel!F17*Personnel!G88)),0)</f>
        <v>0</v>
      </c>
      <c r="J17" s="149">
        <f>IF(Personnel!G14="Yes",('Labor Detail'!V17/(Personnel!G17*Personnel!H88)),0)</f>
        <v>0</v>
      </c>
      <c r="K17" s="149">
        <f>IF(Personnel!H14="Yes",('Labor Detail'!W17/(Personnel!H17*Personnel!I88)),0)</f>
        <v>0</v>
      </c>
      <c r="L17" s="149">
        <f>IF(Personnel!I14="Yes",('Labor Detail'!X17/(Personnel!I17*Personnel!J88)),0)</f>
        <v>0</v>
      </c>
    </row>
    <row r="18" spans="1:12" hidden="1" x14ac:dyDescent="0.3">
      <c r="A18" s="54">
        <f>'Labor Detail'!A18</f>
        <v>0</v>
      </c>
      <c r="B18" s="149">
        <f>Personnel!F18/12</f>
        <v>0</v>
      </c>
      <c r="C18" s="149">
        <f>Personnel!G18/12</f>
        <v>0</v>
      </c>
      <c r="D18" s="149">
        <f>Personnel!H18/12</f>
        <v>0</v>
      </c>
      <c r="E18" s="149">
        <f>Personnel!I18/12</f>
        <v>0</v>
      </c>
      <c r="F18" s="149">
        <f>Personnel!J18/12</f>
        <v>0</v>
      </c>
      <c r="G18" s="150"/>
      <c r="H18" s="149">
        <f>IF(Personnel!D15="Yes",('Labor Detail'!T18/(Personnel!D18*Personnel!F89)),0)</f>
        <v>0</v>
      </c>
      <c r="I18" s="149">
        <f>IF(Personnel!F15="Yes",('Labor Detail'!U18/(Personnel!F18*Personnel!G89)),0)</f>
        <v>0</v>
      </c>
      <c r="J18" s="149">
        <f>IF(Personnel!G15="Yes",('Labor Detail'!V18/(Personnel!G18*Personnel!H89)),0)</f>
        <v>0</v>
      </c>
      <c r="K18" s="149">
        <f>IF(Personnel!H15="Yes",('Labor Detail'!W18/(Personnel!H18*Personnel!I89)),0)</f>
        <v>0</v>
      </c>
      <c r="L18" s="149">
        <f>IF(Personnel!I15="Yes",('Labor Detail'!X18/(Personnel!I18*Personnel!J89)),0)</f>
        <v>0</v>
      </c>
    </row>
    <row r="19" spans="1:12" hidden="1" x14ac:dyDescent="0.3">
      <c r="A19" s="54">
        <f>'Labor Detail'!A19</f>
        <v>0</v>
      </c>
      <c r="B19" s="149">
        <f>Personnel!F19/12</f>
        <v>0</v>
      </c>
      <c r="C19" s="149">
        <f>Personnel!G19/12</f>
        <v>0</v>
      </c>
      <c r="D19" s="149">
        <f>Personnel!H19/12</f>
        <v>0</v>
      </c>
      <c r="E19" s="149">
        <f>Personnel!I19/12</f>
        <v>0</v>
      </c>
      <c r="F19" s="149">
        <f>Personnel!J19/12</f>
        <v>0</v>
      </c>
      <c r="G19" s="150"/>
      <c r="H19" s="149">
        <f>IF(Personnel!D16="Yes",('Labor Detail'!T19/(Personnel!D19*Personnel!F90)),0)</f>
        <v>0</v>
      </c>
      <c r="I19" s="149">
        <f>IF(Personnel!F16="Yes",('Labor Detail'!U19/(Personnel!F19*Personnel!G90)),0)</f>
        <v>0</v>
      </c>
      <c r="J19" s="149">
        <f>IF(Personnel!G16="Yes",('Labor Detail'!V19/(Personnel!G19*Personnel!H90)),0)</f>
        <v>0</v>
      </c>
      <c r="K19" s="149">
        <f>IF(Personnel!H16="Yes",('Labor Detail'!W19/(Personnel!H19*Personnel!I90)),0)</f>
        <v>0</v>
      </c>
      <c r="L19" s="149">
        <f>IF(Personnel!I16="Yes",('Labor Detail'!X19/(Personnel!I19*Personnel!J90)),0)</f>
        <v>0</v>
      </c>
    </row>
    <row r="20" spans="1:12" hidden="1" x14ac:dyDescent="0.3">
      <c r="A20" s="54">
        <f>'Labor Detail'!A20</f>
        <v>0</v>
      </c>
      <c r="B20" s="149">
        <f>Personnel!F20/12</f>
        <v>0</v>
      </c>
      <c r="C20" s="149">
        <f>Personnel!G20/12</f>
        <v>0</v>
      </c>
      <c r="D20" s="149">
        <f>Personnel!H20/12</f>
        <v>0</v>
      </c>
      <c r="E20" s="149">
        <f>Personnel!I20/12</f>
        <v>0</v>
      </c>
      <c r="F20" s="149">
        <f>Personnel!J20/12</f>
        <v>0</v>
      </c>
      <c r="G20" s="150"/>
      <c r="H20" s="149">
        <f>IF(Personnel!D17="Yes",('Labor Detail'!T20/(Personnel!D20*Personnel!F91)),0)</f>
        <v>0</v>
      </c>
      <c r="I20" s="149">
        <f>IF(Personnel!F17="Yes",('Labor Detail'!U20/(Personnel!F20*Personnel!G91)),0)</f>
        <v>0</v>
      </c>
      <c r="J20" s="149">
        <f>IF(Personnel!G17="Yes",('Labor Detail'!V20/(Personnel!G20*Personnel!H91)),0)</f>
        <v>0</v>
      </c>
      <c r="K20" s="149">
        <f>IF(Personnel!H17="Yes",('Labor Detail'!W20/(Personnel!H20*Personnel!I91)),0)</f>
        <v>0</v>
      </c>
      <c r="L20" s="149">
        <f>IF(Personnel!I17="Yes",('Labor Detail'!X20/(Personnel!I20*Personnel!J91)),0)</f>
        <v>0</v>
      </c>
    </row>
    <row r="21" spans="1:12" hidden="1" x14ac:dyDescent="0.3">
      <c r="A21" s="54">
        <f>'Labor Detail'!A21</f>
        <v>0</v>
      </c>
      <c r="B21" s="149">
        <f>Personnel!F21/12</f>
        <v>0</v>
      </c>
      <c r="C21" s="149">
        <f>Personnel!G21/12</f>
        <v>0</v>
      </c>
      <c r="D21" s="149">
        <f>Personnel!H21/12</f>
        <v>0</v>
      </c>
      <c r="E21" s="149">
        <f>Personnel!I21/12</f>
        <v>0</v>
      </c>
      <c r="F21" s="149">
        <f>Personnel!J21/12</f>
        <v>0</v>
      </c>
      <c r="G21" s="150"/>
      <c r="H21" s="149">
        <f>IF(Personnel!D18="Yes",('Labor Detail'!T21/(Personnel!D21*Personnel!F92)),0)</f>
        <v>0</v>
      </c>
      <c r="I21" s="149">
        <f>IF(Personnel!F18="Yes",('Labor Detail'!U21/(Personnel!F21*Personnel!G92)),0)</f>
        <v>0</v>
      </c>
      <c r="J21" s="149">
        <f>IF(Personnel!G18="Yes",('Labor Detail'!V21/(Personnel!G21*Personnel!H92)),0)</f>
        <v>0</v>
      </c>
      <c r="K21" s="149">
        <f>IF(Personnel!H18="Yes",('Labor Detail'!W21/(Personnel!H21*Personnel!I92)),0)</f>
        <v>0</v>
      </c>
      <c r="L21" s="149">
        <f>IF(Personnel!I18="Yes",('Labor Detail'!X21/(Personnel!I21*Personnel!J92)),0)</f>
        <v>0</v>
      </c>
    </row>
    <row r="22" spans="1:12" hidden="1" x14ac:dyDescent="0.3">
      <c r="A22" s="54">
        <f>'Labor Detail'!A22</f>
        <v>0</v>
      </c>
      <c r="B22" s="149">
        <f>Personnel!F22/12</f>
        <v>0</v>
      </c>
      <c r="C22" s="149">
        <f>Personnel!G22/12</f>
        <v>0</v>
      </c>
      <c r="D22" s="149">
        <f>Personnel!H22/12</f>
        <v>0</v>
      </c>
      <c r="E22" s="149">
        <f>Personnel!I22/12</f>
        <v>0</v>
      </c>
      <c r="F22" s="149">
        <f>Personnel!J22/12</f>
        <v>0</v>
      </c>
      <c r="G22" s="150"/>
      <c r="H22" s="149">
        <f>IF(Personnel!D19="Yes",('Labor Detail'!T22/(Personnel!D22*Personnel!F93)),0)</f>
        <v>0</v>
      </c>
      <c r="I22" s="149">
        <f>IF(Personnel!F19="Yes",('Labor Detail'!U22/(Personnel!F22*Personnel!G93)),0)</f>
        <v>0</v>
      </c>
      <c r="J22" s="149">
        <f>IF(Personnel!G19="Yes",('Labor Detail'!V22/(Personnel!G22*Personnel!H93)),0)</f>
        <v>0</v>
      </c>
      <c r="K22" s="149">
        <f>IF(Personnel!H19="Yes",('Labor Detail'!W22/(Personnel!H22*Personnel!I93)),0)</f>
        <v>0</v>
      </c>
      <c r="L22" s="149">
        <f>IF(Personnel!I19="Yes",('Labor Detail'!X22/(Personnel!I22*Personnel!J93)),0)</f>
        <v>0</v>
      </c>
    </row>
    <row r="23" spans="1:12" hidden="1" x14ac:dyDescent="0.3">
      <c r="A23" s="54">
        <f>'Labor Detail'!A23</f>
        <v>0</v>
      </c>
      <c r="B23" s="149">
        <f>Personnel!F23/12</f>
        <v>0</v>
      </c>
      <c r="C23" s="149">
        <f>Personnel!G23/12</f>
        <v>0</v>
      </c>
      <c r="D23" s="149">
        <f>Personnel!H23/12</f>
        <v>0</v>
      </c>
      <c r="E23" s="149">
        <f>Personnel!I23/12</f>
        <v>0</v>
      </c>
      <c r="F23" s="149">
        <f>Personnel!J23/12</f>
        <v>0</v>
      </c>
      <c r="G23" s="150"/>
      <c r="H23" s="149">
        <f>IF(Personnel!D20="Yes",('Labor Detail'!T23/(Personnel!D23*Personnel!F94)),0)</f>
        <v>0</v>
      </c>
      <c r="I23" s="149">
        <f>IF(Personnel!F20="Yes",('Labor Detail'!U23/(Personnel!F23*Personnel!G94)),0)</f>
        <v>0</v>
      </c>
      <c r="J23" s="149">
        <f>IF(Personnel!G20="Yes",('Labor Detail'!V23/(Personnel!G23*Personnel!H94)),0)</f>
        <v>0</v>
      </c>
      <c r="K23" s="149">
        <f>IF(Personnel!H20="Yes",('Labor Detail'!W23/(Personnel!H23*Personnel!I94)),0)</f>
        <v>0</v>
      </c>
      <c r="L23" s="149">
        <f>IF(Personnel!I20="Yes",('Labor Detail'!X23/(Personnel!I23*Personnel!J94)),0)</f>
        <v>0</v>
      </c>
    </row>
    <row r="24" spans="1:12" hidden="1" x14ac:dyDescent="0.3">
      <c r="A24" s="54">
        <f>'Labor Detail'!A24</f>
        <v>0</v>
      </c>
      <c r="B24" s="149">
        <f>Personnel!F24/12</f>
        <v>0</v>
      </c>
      <c r="C24" s="149">
        <f>Personnel!G24/12</f>
        <v>0</v>
      </c>
      <c r="D24" s="149">
        <f>Personnel!H24/12</f>
        <v>0</v>
      </c>
      <c r="E24" s="149">
        <f>Personnel!I24/12</f>
        <v>0</v>
      </c>
      <c r="F24" s="149">
        <f>Personnel!J24/12</f>
        <v>0</v>
      </c>
      <c r="G24" s="150"/>
      <c r="H24" s="149">
        <f>IF(Personnel!D21="Yes",('Labor Detail'!T24/(Personnel!D24*Personnel!F95)),0)</f>
        <v>0</v>
      </c>
      <c r="I24" s="149">
        <f>IF(Personnel!F21="Yes",('Labor Detail'!U24/(Personnel!F24*Personnel!G95)),0)</f>
        <v>0</v>
      </c>
      <c r="J24" s="149">
        <f>IF(Personnel!G21="Yes",('Labor Detail'!V24/(Personnel!G24*Personnel!H95)),0)</f>
        <v>0</v>
      </c>
      <c r="K24" s="149">
        <f>IF(Personnel!H21="Yes",('Labor Detail'!W24/(Personnel!H24*Personnel!I95)),0)</f>
        <v>0</v>
      </c>
      <c r="L24" s="149">
        <f>IF(Personnel!I21="Yes",('Labor Detail'!X24/(Personnel!I24*Personnel!J95)),0)</f>
        <v>0</v>
      </c>
    </row>
    <row r="25" spans="1:12" hidden="1" x14ac:dyDescent="0.3">
      <c r="A25" s="54">
        <f>'Labor Detail'!A25</f>
        <v>0</v>
      </c>
      <c r="B25" s="149">
        <f>Personnel!F25/12</f>
        <v>0</v>
      </c>
      <c r="C25" s="149">
        <f>Personnel!G25/12</f>
        <v>0</v>
      </c>
      <c r="D25" s="149">
        <f>Personnel!H25/12</f>
        <v>0</v>
      </c>
      <c r="E25" s="149">
        <f>Personnel!I25/12</f>
        <v>0</v>
      </c>
      <c r="F25" s="149">
        <f>Personnel!J25/12</f>
        <v>0</v>
      </c>
      <c r="G25" s="150"/>
      <c r="H25" s="149">
        <f>IF(Personnel!D22="Yes",('Labor Detail'!T25/(Personnel!D25*Personnel!F96)),0)</f>
        <v>0</v>
      </c>
      <c r="I25" s="149">
        <f>IF(Personnel!F22="Yes",('Labor Detail'!U25/(Personnel!F25*Personnel!G96)),0)</f>
        <v>0</v>
      </c>
      <c r="J25" s="149">
        <f>IF(Personnel!G22="Yes",('Labor Detail'!V25/(Personnel!G25*Personnel!H96)),0)</f>
        <v>0</v>
      </c>
      <c r="K25" s="149">
        <f>IF(Personnel!H22="Yes",('Labor Detail'!W25/(Personnel!H25*Personnel!I96)),0)</f>
        <v>0</v>
      </c>
      <c r="L25" s="149">
        <f>IF(Personnel!I22="Yes",('Labor Detail'!X25/(Personnel!I25*Personnel!J96)),0)</f>
        <v>0</v>
      </c>
    </row>
    <row r="26" spans="1:12" hidden="1" x14ac:dyDescent="0.3">
      <c r="A26" s="54">
        <f>'Labor Detail'!A26</f>
        <v>0</v>
      </c>
      <c r="B26" s="149">
        <f>Personnel!F26/12</f>
        <v>0</v>
      </c>
      <c r="C26" s="149">
        <f>Personnel!G26/12</f>
        <v>0</v>
      </c>
      <c r="D26" s="149">
        <f>Personnel!H26/12</f>
        <v>0</v>
      </c>
      <c r="E26" s="149">
        <f>Personnel!I26/12</f>
        <v>0</v>
      </c>
      <c r="F26" s="149">
        <f>Personnel!J26/12</f>
        <v>0</v>
      </c>
      <c r="G26" s="150"/>
      <c r="H26" s="149">
        <f>IF(Personnel!D23="Yes",('Labor Detail'!T26/(Personnel!D26*Personnel!F97)),0)</f>
        <v>0</v>
      </c>
      <c r="I26" s="149">
        <f>IF(Personnel!F23="Yes",('Labor Detail'!U26/(Personnel!F26*Personnel!G97)),0)</f>
        <v>0</v>
      </c>
      <c r="J26" s="149">
        <f>IF(Personnel!G23="Yes",('Labor Detail'!V26/(Personnel!G26*Personnel!H97)),0)</f>
        <v>0</v>
      </c>
      <c r="K26" s="149">
        <f>IF(Personnel!H23="Yes",('Labor Detail'!W26/(Personnel!H26*Personnel!I97)),0)</f>
        <v>0</v>
      </c>
      <c r="L26" s="149">
        <f>IF(Personnel!I23="Yes",('Labor Detail'!X26/(Personnel!I26*Personnel!J97)),0)</f>
        <v>0</v>
      </c>
    </row>
    <row r="27" spans="1:12" hidden="1" x14ac:dyDescent="0.3">
      <c r="A27" s="54">
        <f>'Labor Detail'!A27</f>
        <v>0</v>
      </c>
      <c r="B27" s="149">
        <f>Personnel!F27/12</f>
        <v>0</v>
      </c>
      <c r="C27" s="149">
        <f>Personnel!G27/12</f>
        <v>0</v>
      </c>
      <c r="D27" s="149">
        <f>Personnel!H27/12</f>
        <v>0</v>
      </c>
      <c r="E27" s="149">
        <f>Personnel!I27/12</f>
        <v>0</v>
      </c>
      <c r="F27" s="149">
        <f>Personnel!J27/12</f>
        <v>0</v>
      </c>
      <c r="G27" s="150"/>
      <c r="H27" s="149">
        <f>IF(Personnel!D24="Yes",('Labor Detail'!T27/(Personnel!D27*Personnel!F98)),0)</f>
        <v>0</v>
      </c>
      <c r="I27" s="149">
        <f>IF(Personnel!F24="Yes",('Labor Detail'!U27/(Personnel!F27*Personnel!G98)),0)</f>
        <v>0</v>
      </c>
      <c r="J27" s="149">
        <f>IF(Personnel!G24="Yes",('Labor Detail'!V27/(Personnel!G27*Personnel!H98)),0)</f>
        <v>0</v>
      </c>
      <c r="K27" s="149">
        <f>IF(Personnel!H24="Yes",('Labor Detail'!W27/(Personnel!H27*Personnel!I98)),0)</f>
        <v>0</v>
      </c>
      <c r="L27" s="149">
        <f>IF(Personnel!I24="Yes",('Labor Detail'!X27/(Personnel!I27*Personnel!J98)),0)</f>
        <v>0</v>
      </c>
    </row>
    <row r="28" spans="1:12" hidden="1" x14ac:dyDescent="0.3">
      <c r="A28" s="54">
        <f>'Labor Detail'!A28</f>
        <v>0</v>
      </c>
      <c r="B28" s="149">
        <f>Personnel!F28/12</f>
        <v>0</v>
      </c>
      <c r="C28" s="149">
        <f>Personnel!G28/12</f>
        <v>0</v>
      </c>
      <c r="D28" s="149">
        <f>Personnel!H28/12</f>
        <v>0</v>
      </c>
      <c r="E28" s="149">
        <f>Personnel!I28/12</f>
        <v>0</v>
      </c>
      <c r="F28" s="149">
        <f>Personnel!J28/12</f>
        <v>0</v>
      </c>
      <c r="G28" s="150"/>
      <c r="H28" s="149">
        <f>IF(Personnel!D25="Yes",('Labor Detail'!T28/(Personnel!D28*Personnel!F99)),0)</f>
        <v>0</v>
      </c>
      <c r="I28" s="149">
        <f>IF(Personnel!F25="Yes",('Labor Detail'!U28/(Personnel!F28*Personnel!G99)),0)</f>
        <v>0</v>
      </c>
      <c r="J28" s="149">
        <f>IF(Personnel!G25="Yes",('Labor Detail'!V28/(Personnel!G28*Personnel!H99)),0)</f>
        <v>0</v>
      </c>
      <c r="K28" s="149">
        <f>IF(Personnel!H25="Yes",('Labor Detail'!W28/(Personnel!H28*Personnel!I99)),0)</f>
        <v>0</v>
      </c>
      <c r="L28" s="149">
        <f>IF(Personnel!I25="Yes",('Labor Detail'!X28/(Personnel!I28*Personnel!J99)),0)</f>
        <v>0</v>
      </c>
    </row>
    <row r="29" spans="1:12" hidden="1" x14ac:dyDescent="0.3">
      <c r="A29" s="54">
        <f>'Labor Detail'!A29</f>
        <v>0</v>
      </c>
      <c r="B29" s="149">
        <f>Personnel!F29/12</f>
        <v>0</v>
      </c>
      <c r="C29" s="149">
        <f>Personnel!G29/12</f>
        <v>0</v>
      </c>
      <c r="D29" s="149">
        <f>Personnel!H29/12</f>
        <v>0</v>
      </c>
      <c r="E29" s="149">
        <f>Personnel!I29/12</f>
        <v>0</v>
      </c>
      <c r="F29" s="149">
        <f>Personnel!J29/12</f>
        <v>0</v>
      </c>
      <c r="G29" s="150"/>
      <c r="H29" s="149">
        <f>IF(Personnel!D26="Yes",('Labor Detail'!T29/(Personnel!D29*Personnel!F100)),0)</f>
        <v>0</v>
      </c>
      <c r="I29" s="149">
        <f>IF(Personnel!F26="Yes",('Labor Detail'!U29/(Personnel!F29*Personnel!G100)),0)</f>
        <v>0</v>
      </c>
      <c r="J29" s="149">
        <f>IF(Personnel!G26="Yes",('Labor Detail'!V29/(Personnel!G29*Personnel!H100)),0)</f>
        <v>0</v>
      </c>
      <c r="K29" s="149">
        <f>IF(Personnel!H26="Yes",('Labor Detail'!W29/(Personnel!H29*Personnel!I100)),0)</f>
        <v>0</v>
      </c>
      <c r="L29" s="149">
        <f>IF(Personnel!I26="Yes",('Labor Detail'!X29/(Personnel!I29*Personnel!J100)),0)</f>
        <v>0</v>
      </c>
    </row>
    <row r="30" spans="1:12" hidden="1" x14ac:dyDescent="0.3">
      <c r="A30" s="54">
        <f>'Labor Detail'!A30</f>
        <v>0</v>
      </c>
      <c r="B30" s="149">
        <f>Personnel!F30/12</f>
        <v>0</v>
      </c>
      <c r="C30" s="149">
        <f>Personnel!G30/12</f>
        <v>0</v>
      </c>
      <c r="D30" s="149">
        <f>Personnel!H30/12</f>
        <v>0</v>
      </c>
      <c r="E30" s="149">
        <f>Personnel!I30/12</f>
        <v>0</v>
      </c>
      <c r="F30" s="149">
        <f>Personnel!J30/12</f>
        <v>0</v>
      </c>
      <c r="G30" s="150"/>
      <c r="H30" s="149">
        <f>IF(Personnel!D27="Yes",('Labor Detail'!T30/(Personnel!D30*Personnel!F101)),0)</f>
        <v>0</v>
      </c>
      <c r="I30" s="149">
        <f>IF(Personnel!F27="Yes",('Labor Detail'!U30/(Personnel!F30*Personnel!G101)),0)</f>
        <v>0</v>
      </c>
      <c r="J30" s="149">
        <f>IF(Personnel!G27="Yes",('Labor Detail'!V30/(Personnel!G30*Personnel!H101)),0)</f>
        <v>0</v>
      </c>
      <c r="K30" s="149">
        <f>IF(Personnel!H27="Yes",('Labor Detail'!W30/(Personnel!H30*Personnel!I101)),0)</f>
        <v>0</v>
      </c>
      <c r="L30" s="149">
        <f>IF(Personnel!I27="Yes",('Labor Detail'!X30/(Personnel!I30*Personnel!J101)),0)</f>
        <v>0</v>
      </c>
    </row>
    <row r="31" spans="1:12" hidden="1" x14ac:dyDescent="0.3">
      <c r="A31" s="54">
        <f>'Labor Detail'!A31</f>
        <v>0</v>
      </c>
      <c r="B31" s="149">
        <f>Personnel!F31/12</f>
        <v>0</v>
      </c>
      <c r="C31" s="149">
        <f>Personnel!G31/12</f>
        <v>0</v>
      </c>
      <c r="D31" s="149">
        <f>Personnel!H31/12</f>
        <v>0</v>
      </c>
      <c r="E31" s="149">
        <f>Personnel!I31/12</f>
        <v>0</v>
      </c>
      <c r="F31" s="149">
        <f>Personnel!J31/12</f>
        <v>0</v>
      </c>
      <c r="G31" s="150"/>
      <c r="H31" s="149">
        <f>IF(Personnel!D28="Yes",('Labor Detail'!T31/(Personnel!D31*Personnel!F102)),0)</f>
        <v>0</v>
      </c>
      <c r="I31" s="149">
        <f>IF(Personnel!F28="Yes",('Labor Detail'!U31/(Personnel!F31*Personnel!G102)),0)</f>
        <v>0</v>
      </c>
      <c r="J31" s="149">
        <f>IF(Personnel!G28="Yes",('Labor Detail'!V31/(Personnel!G31*Personnel!H102)),0)</f>
        <v>0</v>
      </c>
      <c r="K31" s="149">
        <f>IF(Personnel!H28="Yes",('Labor Detail'!W31/(Personnel!H31*Personnel!I102)),0)</f>
        <v>0</v>
      </c>
      <c r="L31" s="149">
        <f>IF(Personnel!I28="Yes",('Labor Detail'!X31/(Personnel!I31*Personnel!J102)),0)</f>
        <v>0</v>
      </c>
    </row>
    <row r="32" spans="1:12" hidden="1" x14ac:dyDescent="0.3">
      <c r="A32" s="54">
        <f>'Labor Detail'!A32</f>
        <v>0</v>
      </c>
      <c r="B32" s="149">
        <f>Personnel!F32/12</f>
        <v>0</v>
      </c>
      <c r="C32" s="149">
        <f>Personnel!G32/12</f>
        <v>0</v>
      </c>
      <c r="D32" s="149">
        <f>Personnel!H32/12</f>
        <v>0</v>
      </c>
      <c r="E32" s="149">
        <f>Personnel!I32/12</f>
        <v>0</v>
      </c>
      <c r="F32" s="149">
        <f>Personnel!J32/12</f>
        <v>0</v>
      </c>
      <c r="G32" s="150"/>
      <c r="H32" s="149">
        <f>IF(Personnel!D29="Yes",('Labor Detail'!T32/(Personnel!D32*Personnel!F103)),0)</f>
        <v>0</v>
      </c>
      <c r="I32" s="149">
        <f>IF(Personnel!F29="Yes",('Labor Detail'!U32/(Personnel!F32*Personnel!G103)),0)</f>
        <v>0</v>
      </c>
      <c r="J32" s="149">
        <f>IF(Personnel!G29="Yes",('Labor Detail'!V32/(Personnel!G32*Personnel!H103)),0)</f>
        <v>0</v>
      </c>
      <c r="K32" s="149">
        <f>IF(Personnel!H29="Yes",('Labor Detail'!W32/(Personnel!H32*Personnel!I103)),0)</f>
        <v>0</v>
      </c>
      <c r="L32" s="149">
        <f>IF(Personnel!I29="Yes",('Labor Detail'!X32/(Personnel!I32*Personnel!J103)),0)</f>
        <v>0</v>
      </c>
    </row>
    <row r="33" spans="1:12" hidden="1" x14ac:dyDescent="0.3">
      <c r="A33" s="54">
        <f>'Labor Detail'!A33</f>
        <v>0</v>
      </c>
      <c r="B33" s="149">
        <f>Personnel!F33/12</f>
        <v>0</v>
      </c>
      <c r="C33" s="149">
        <f>Personnel!G33/12</f>
        <v>0</v>
      </c>
      <c r="D33" s="149">
        <f>Personnel!H33/12</f>
        <v>0</v>
      </c>
      <c r="E33" s="149">
        <f>Personnel!I33/12</f>
        <v>0</v>
      </c>
      <c r="F33" s="149">
        <f>Personnel!J33/12</f>
        <v>0</v>
      </c>
      <c r="G33" s="150"/>
      <c r="H33" s="149">
        <f>IF(Personnel!D30="Yes",('Labor Detail'!T33/(Personnel!D33*Personnel!F104)),0)</f>
        <v>0</v>
      </c>
      <c r="I33" s="149">
        <f>IF(Personnel!F30="Yes",('Labor Detail'!U33/(Personnel!F33*Personnel!G104)),0)</f>
        <v>0</v>
      </c>
      <c r="J33" s="149">
        <f>IF(Personnel!G30="Yes",('Labor Detail'!V33/(Personnel!G33*Personnel!H104)),0)</f>
        <v>0</v>
      </c>
      <c r="K33" s="149">
        <f>IF(Personnel!H30="Yes",('Labor Detail'!W33/(Personnel!H33*Personnel!I104)),0)</f>
        <v>0</v>
      </c>
      <c r="L33" s="149">
        <f>IF(Personnel!I30="Yes",('Labor Detail'!X33/(Personnel!I33*Personnel!J104)),0)</f>
        <v>0</v>
      </c>
    </row>
    <row r="34" spans="1:12" hidden="1" x14ac:dyDescent="0.3">
      <c r="A34" s="54">
        <f>'Labor Detail'!A34</f>
        <v>0</v>
      </c>
      <c r="B34" s="149">
        <f>Personnel!F34/12</f>
        <v>0</v>
      </c>
      <c r="C34" s="149">
        <f>Personnel!G34/12</f>
        <v>0</v>
      </c>
      <c r="D34" s="149">
        <f>Personnel!H34/12</f>
        <v>0</v>
      </c>
      <c r="E34" s="149">
        <f>Personnel!I34/12</f>
        <v>0</v>
      </c>
      <c r="F34" s="149">
        <f>Personnel!J34/12</f>
        <v>0</v>
      </c>
      <c r="G34" s="150"/>
      <c r="H34" s="149">
        <f>IF(Personnel!D31="Yes",('Labor Detail'!T34/(Personnel!D34*Personnel!F105)),0)</f>
        <v>0</v>
      </c>
      <c r="I34" s="149">
        <f>IF(Personnel!F31="Yes",('Labor Detail'!U34/(Personnel!F34*Personnel!G105)),0)</f>
        <v>0</v>
      </c>
      <c r="J34" s="149">
        <f>IF(Personnel!G31="Yes",('Labor Detail'!V34/(Personnel!G34*Personnel!H105)),0)</f>
        <v>0</v>
      </c>
      <c r="K34" s="149">
        <f>IF(Personnel!H31="Yes",('Labor Detail'!W34/(Personnel!H34*Personnel!I105)),0)</f>
        <v>0</v>
      </c>
      <c r="L34" s="149">
        <f>IF(Personnel!I31="Yes",('Labor Detail'!X34/(Personnel!I34*Personnel!J105)),0)</f>
        <v>0</v>
      </c>
    </row>
    <row r="35" spans="1:12" hidden="1" x14ac:dyDescent="0.3">
      <c r="A35" s="54">
        <f>'Labor Detail'!A35</f>
        <v>0</v>
      </c>
      <c r="B35" s="149">
        <f>Personnel!F35/12</f>
        <v>0</v>
      </c>
      <c r="C35" s="149">
        <f>Personnel!G35/12</f>
        <v>0</v>
      </c>
      <c r="D35" s="149">
        <f>Personnel!H35/12</f>
        <v>0</v>
      </c>
      <c r="E35" s="149">
        <f>Personnel!I35/12</f>
        <v>0</v>
      </c>
      <c r="F35" s="149">
        <f>Personnel!J35/12</f>
        <v>0</v>
      </c>
      <c r="G35" s="150"/>
      <c r="H35" s="149">
        <f>IF(Personnel!D32="Yes",('Labor Detail'!T35/(Personnel!D35*Personnel!F106)),0)</f>
        <v>0</v>
      </c>
      <c r="I35" s="149">
        <f>IF(Personnel!F32="Yes",('Labor Detail'!U35/(Personnel!F35*Personnel!G106)),0)</f>
        <v>0</v>
      </c>
      <c r="J35" s="149">
        <f>IF(Personnel!G32="Yes",('Labor Detail'!V35/(Personnel!G35*Personnel!H106)),0)</f>
        <v>0</v>
      </c>
      <c r="K35" s="149">
        <f>IF(Personnel!H32="Yes",('Labor Detail'!W35/(Personnel!H35*Personnel!I106)),0)</f>
        <v>0</v>
      </c>
      <c r="L35" s="149">
        <f>IF(Personnel!I32="Yes",('Labor Detail'!X35/(Personnel!I35*Personnel!J106)),0)</f>
        <v>0</v>
      </c>
    </row>
    <row r="36" spans="1:12" x14ac:dyDescent="0.3">
      <c r="B36" s="151">
        <f>SUM(B5:B35)</f>
        <v>0</v>
      </c>
      <c r="C36" s="151">
        <f>SUM(C5:C35)</f>
        <v>0</v>
      </c>
      <c r="D36" s="151">
        <f>SUM(D5:D35)</f>
        <v>0</v>
      </c>
      <c r="E36" s="151">
        <f>SUM(E5:E35)</f>
        <v>0</v>
      </c>
      <c r="F36" s="151">
        <f>SUM(F5:F35)</f>
        <v>0</v>
      </c>
      <c r="G36" s="150"/>
      <c r="H36" s="151">
        <f>SUM(H5:H35)</f>
        <v>0</v>
      </c>
      <c r="I36" s="151">
        <f>SUM(I5:I35)</f>
        <v>0</v>
      </c>
      <c r="J36" s="151">
        <f>SUM(J5:J35)</f>
        <v>0</v>
      </c>
      <c r="K36" s="151">
        <f>SUM(K5:K35)</f>
        <v>0</v>
      </c>
      <c r="L36" s="151">
        <f>SUM(L5:L35)</f>
        <v>0</v>
      </c>
    </row>
    <row r="37" spans="1:12" ht="15.6" customHeight="1" x14ac:dyDescent="0.3">
      <c r="B37" s="415" t="s">
        <v>53</v>
      </c>
      <c r="C37" s="395"/>
      <c r="D37" s="395"/>
      <c r="E37" s="395"/>
      <c r="F37" s="395"/>
      <c r="H37" s="61"/>
      <c r="I37" s="61"/>
      <c r="J37" s="61"/>
      <c r="K37" s="61"/>
      <c r="L37" s="61"/>
    </row>
    <row r="38" spans="1:12" x14ac:dyDescent="0.3">
      <c r="A38" s="54">
        <f>'Labor Detail'!A38</f>
        <v>0</v>
      </c>
      <c r="B38" s="149">
        <f>IF(Personnel!$C38&lt;&gt;"Cost Share",Personnel!F38/12,0)</f>
        <v>0</v>
      </c>
      <c r="C38" s="149">
        <f>IF(Personnel!$C38&lt;&gt;"Cost Share",Personnel!G38/12,0)</f>
        <v>0</v>
      </c>
      <c r="D38" s="149">
        <f>IF(Personnel!$C38&lt;&gt;"Cost Share",Personnel!H38/12,0)</f>
        <v>0</v>
      </c>
      <c r="E38" s="149">
        <f>IF(Personnel!$C38&lt;&gt;"Cost Share",Personnel!I38/12,0)</f>
        <v>0</v>
      </c>
      <c r="F38" s="149">
        <f>IF(Personnel!$C38&lt;&gt;"Cost Share",Personnel!J38/12,0)</f>
        <v>0</v>
      </c>
      <c r="H38" s="126">
        <f>IF('Labor Detail'!Z38&gt;0,IF(Personnel!$C38&lt;&gt;"Sum",('Labor Detail'!Z38*0.22883)+('Labor Detail'!T38*5659),('Labor Detail'!Z38*0.22883)),0)</f>
        <v>0</v>
      </c>
      <c r="I38" s="126">
        <f>IF('Labor Detail'!AA38&gt;0,IF(Personnel!$C38&lt;&gt;"Sum",('Labor Detail'!AA38*0.22883)+('Labor Detail'!U38*5659),('Labor Detail'!AA38*0.22883)),0)</f>
        <v>0</v>
      </c>
      <c r="J38" s="126">
        <f>IF('Labor Detail'!AB38&gt;0,IF(Personnel!$C38&lt;&gt;"Sum",('Labor Detail'!AB38*0.22883)+('Labor Detail'!V38*5659),('Labor Detail'!AB38*0.22883)),0)</f>
        <v>0</v>
      </c>
      <c r="K38" s="126">
        <f>IF('Labor Detail'!AC38&gt;0,IF(Personnel!$C38&lt;&gt;"Sum",('Labor Detail'!AC38*0.22883)+('Labor Detail'!W38*5659),('Labor Detail'!AC38*0.22883)),0)</f>
        <v>0</v>
      </c>
      <c r="L38" s="126">
        <f>IF('Labor Detail'!AD38&gt;0,IF(Personnel!$C38&lt;&gt;"Sum",('Labor Detail'!AD38*0.22883)+('Labor Detail'!X38*5659),('Labor Detail'!AD38*0.22883)),0)</f>
        <v>0</v>
      </c>
    </row>
    <row r="39" spans="1:12" x14ac:dyDescent="0.3">
      <c r="A39" s="54">
        <f>'Labor Detail'!A39</f>
        <v>0</v>
      </c>
      <c r="B39" s="149">
        <f>IF(Personnel!$C39&lt;&gt;"Cost Share",Personnel!F39/12,0)</f>
        <v>0</v>
      </c>
      <c r="C39" s="149">
        <f>IF(Personnel!$C39&lt;&gt;"Cost Share",Personnel!G39/12,0)</f>
        <v>0</v>
      </c>
      <c r="D39" s="149">
        <f>IF(Personnel!$C39&lt;&gt;"Cost Share",Personnel!H39/12,0)</f>
        <v>0</v>
      </c>
      <c r="E39" s="149">
        <f>IF(Personnel!$C39&lt;&gt;"Cost Share",Personnel!I39/12,0)</f>
        <v>0</v>
      </c>
      <c r="F39" s="149">
        <f>IF(Personnel!$C39&lt;&gt;"Cost Share",Personnel!J39/12,0)</f>
        <v>0</v>
      </c>
      <c r="H39" s="126">
        <f>IF('Labor Detail'!Z39&gt;0,IF(Personnel!$C39&lt;&gt;"Sum",('Labor Detail'!Z39*0.22883)+('Labor Detail'!T39*5659),('Labor Detail'!Z39*0.22883)),0)</f>
        <v>0</v>
      </c>
      <c r="I39" s="126">
        <f>IF('Labor Detail'!AA39&gt;0,IF(Personnel!$C39&lt;&gt;"Sum",('Labor Detail'!AA39*0.22883)+('Labor Detail'!U39*5659),('Labor Detail'!AA39*0.22883)),0)</f>
        <v>0</v>
      </c>
      <c r="J39" s="126">
        <f>IF('Labor Detail'!AB39&gt;0,IF(Personnel!$C39&lt;&gt;"Sum",('Labor Detail'!AB39*0.22883)+('Labor Detail'!V39*5659),('Labor Detail'!AB39*0.22883)),0)</f>
        <v>0</v>
      </c>
      <c r="K39" s="126">
        <f>IF('Labor Detail'!AC39&gt;0,IF(Personnel!$C39&lt;&gt;"Sum",('Labor Detail'!AC39*0.22883)+('Labor Detail'!W39*5659),('Labor Detail'!AC39*0.22883)),0)</f>
        <v>0</v>
      </c>
      <c r="L39" s="126">
        <f>IF('Labor Detail'!AD39&gt;0,IF(Personnel!$C39&lt;&gt;"Sum",('Labor Detail'!AD39*0.22883)+('Labor Detail'!X39*5659),('Labor Detail'!AD39*0.22883)),0)</f>
        <v>0</v>
      </c>
    </row>
    <row r="40" spans="1:12" x14ac:dyDescent="0.3">
      <c r="A40" s="54">
        <f>'Labor Detail'!A40</f>
        <v>0</v>
      </c>
      <c r="B40" s="149">
        <f>IF(Personnel!$C40&lt;&gt;"Cost Share",Personnel!F40/12,0)</f>
        <v>0</v>
      </c>
      <c r="C40" s="149">
        <f>IF(Personnel!$C40&lt;&gt;"Cost Share",Personnel!G40/12,0)</f>
        <v>0</v>
      </c>
      <c r="D40" s="149">
        <f>IF(Personnel!$C40&lt;&gt;"Cost Share",Personnel!H40/12,0)</f>
        <v>0</v>
      </c>
      <c r="E40" s="149">
        <f>IF(Personnel!$C40&lt;&gt;"Cost Share",Personnel!I40/12,0)</f>
        <v>0</v>
      </c>
      <c r="F40" s="149">
        <f>IF(Personnel!$C40&lt;&gt;"Cost Share",Personnel!J40/12,0)</f>
        <v>0</v>
      </c>
      <c r="H40" s="126">
        <f>IF('Labor Detail'!Z40&gt;0,IF(Personnel!$C40&lt;&gt;"Sum",('Labor Detail'!Z40*0.22883)+('Labor Detail'!T40*5659),('Labor Detail'!Z40*0.22883)),0)</f>
        <v>0</v>
      </c>
      <c r="I40" s="126">
        <f>IF('Labor Detail'!AA40&gt;0,IF(Personnel!$C40&lt;&gt;"Sum",('Labor Detail'!AA40*0.22883)+('Labor Detail'!U40*5659),('Labor Detail'!AA40*0.22883)),0)</f>
        <v>0</v>
      </c>
      <c r="J40" s="126">
        <f>IF('Labor Detail'!AB40&gt;0,IF(Personnel!$C40&lt;&gt;"Sum",('Labor Detail'!AB40*0.22883)+('Labor Detail'!V40*5659),('Labor Detail'!AB40*0.22883)),0)</f>
        <v>0</v>
      </c>
      <c r="K40" s="126">
        <f>IF('Labor Detail'!AC40&gt;0,IF(Personnel!$C40&lt;&gt;"Sum",('Labor Detail'!AC40*0.22883)+('Labor Detail'!W40*5659),('Labor Detail'!AC40*0.22883)),0)</f>
        <v>0</v>
      </c>
      <c r="L40" s="126">
        <f>IF('Labor Detail'!AD40&gt;0,IF(Personnel!$C40&lt;&gt;"Sum",('Labor Detail'!AD40*0.22883)+('Labor Detail'!X40*5659),('Labor Detail'!AD40*0.22883)),0)</f>
        <v>0</v>
      </c>
    </row>
    <row r="41" spans="1:12" x14ac:dyDescent="0.3">
      <c r="A41" s="54">
        <f>'Labor Detail'!A41</f>
        <v>0</v>
      </c>
      <c r="B41" s="149">
        <f>IF(Personnel!$C41&lt;&gt;"Cost Share",Personnel!F41/12,0)</f>
        <v>0</v>
      </c>
      <c r="C41" s="149">
        <f>IF(Personnel!$C41&lt;&gt;"Cost Share",Personnel!G41/12,0)</f>
        <v>0</v>
      </c>
      <c r="D41" s="149">
        <f>IF(Personnel!$C41&lt;&gt;"Cost Share",Personnel!H41/12,0)</f>
        <v>0</v>
      </c>
      <c r="E41" s="149">
        <f>IF(Personnel!$C41&lt;&gt;"Cost Share",Personnel!I41/12,0)</f>
        <v>0</v>
      </c>
      <c r="F41" s="149">
        <f>IF(Personnel!$C41&lt;&gt;"Cost Share",Personnel!J41/12,0)</f>
        <v>0</v>
      </c>
      <c r="H41" s="126">
        <f>IF('Labor Detail'!Z41&gt;0,IF(Personnel!$C41&lt;&gt;"Sum",('Labor Detail'!Z41*0.22883)+('Labor Detail'!T41*5659),('Labor Detail'!Z41*0.22883)),0)</f>
        <v>0</v>
      </c>
      <c r="I41" s="126">
        <f>IF('Labor Detail'!AA41&gt;0,IF(Personnel!$C41&lt;&gt;"Sum",('Labor Detail'!AA41*0.22883)+('Labor Detail'!U41*5659),('Labor Detail'!AA41*0.22883)),0)</f>
        <v>0</v>
      </c>
      <c r="J41" s="126">
        <f>IF('Labor Detail'!AB41&gt;0,IF(Personnel!$C41&lt;&gt;"Sum",('Labor Detail'!AB41*0.22883)+('Labor Detail'!V41*5659),('Labor Detail'!AB41*0.22883)),0)</f>
        <v>0</v>
      </c>
      <c r="K41" s="126">
        <f>IF('Labor Detail'!AC41&gt;0,IF(Personnel!$C41&lt;&gt;"Sum",('Labor Detail'!AC41*0.22883)+('Labor Detail'!W41*5659),('Labor Detail'!AC41*0.22883)),0)</f>
        <v>0</v>
      </c>
      <c r="L41" s="126">
        <f>IF('Labor Detail'!AD41&gt;0,IF(Personnel!$C41&lt;&gt;"Sum",('Labor Detail'!AD41*0.22883)+('Labor Detail'!X41*5659),('Labor Detail'!AD41*0.22883)),0)</f>
        <v>0</v>
      </c>
    </row>
    <row r="42" spans="1:12" x14ac:dyDescent="0.3">
      <c r="A42" s="54">
        <f>'Labor Detail'!A42</f>
        <v>0</v>
      </c>
      <c r="B42" s="149">
        <f>IF(Personnel!$C42&lt;&gt;"Cost Share",Personnel!F42/12,0)</f>
        <v>0</v>
      </c>
      <c r="C42" s="149">
        <f>IF(Personnel!$C42&lt;&gt;"Cost Share",Personnel!G42/12,0)</f>
        <v>0</v>
      </c>
      <c r="D42" s="149">
        <f>IF(Personnel!$C42&lt;&gt;"Cost Share",Personnel!H42/12,0)</f>
        <v>0</v>
      </c>
      <c r="E42" s="149">
        <f>IF(Personnel!$C42&lt;&gt;"Cost Share",Personnel!I42/12,0)</f>
        <v>0</v>
      </c>
      <c r="F42" s="149">
        <f>IF(Personnel!$C42&lt;&gt;"Cost Share",Personnel!J42/12,0)</f>
        <v>0</v>
      </c>
      <c r="H42" s="126">
        <f>IF('Labor Detail'!Z42&gt;0,IF(Personnel!$C42&lt;&gt;"Sum",('Labor Detail'!Z42*0.22883)+('Labor Detail'!T42*5659),('Labor Detail'!Z42*0.22883)),0)</f>
        <v>0</v>
      </c>
      <c r="I42" s="126">
        <f>IF('Labor Detail'!AA42&gt;0,IF(Personnel!$C42&lt;&gt;"Sum",('Labor Detail'!AA42*0.22883)+('Labor Detail'!U42*5659),('Labor Detail'!AA42*0.22883)),0)</f>
        <v>0</v>
      </c>
      <c r="J42" s="126">
        <f>IF('Labor Detail'!AB42&gt;0,IF(Personnel!$C42&lt;&gt;"Sum",('Labor Detail'!AB42*0.22883)+('Labor Detail'!V42*5659),('Labor Detail'!AB42*0.22883)),0)</f>
        <v>0</v>
      </c>
      <c r="K42" s="126">
        <f>IF('Labor Detail'!AC42&gt;0,IF(Personnel!$C42&lt;&gt;"Sum",('Labor Detail'!AC42*0.22883)+('Labor Detail'!W42*5659),('Labor Detail'!AC42*0.22883)),0)</f>
        <v>0</v>
      </c>
      <c r="L42" s="126">
        <f>IF('Labor Detail'!AD42&gt;0,IF(Personnel!$C42&lt;&gt;"Sum",('Labor Detail'!AD42*0.22883)+('Labor Detail'!X42*5659),('Labor Detail'!AD42*0.22883)),0)</f>
        <v>0</v>
      </c>
    </row>
    <row r="43" spans="1:12" x14ac:dyDescent="0.3">
      <c r="A43" s="54">
        <f>'Labor Detail'!A43</f>
        <v>0</v>
      </c>
      <c r="B43" s="149">
        <f>IF(Personnel!$C43&lt;&gt;"Cost Share",Personnel!F43/12,0)</f>
        <v>0</v>
      </c>
      <c r="C43" s="149">
        <f>IF(Personnel!$C43&lt;&gt;"Cost Share",Personnel!G43/12,0)</f>
        <v>0</v>
      </c>
      <c r="D43" s="149">
        <f>IF(Personnel!$C43&lt;&gt;"Cost Share",Personnel!H43/12,0)</f>
        <v>0</v>
      </c>
      <c r="E43" s="149">
        <f>IF(Personnel!$C43&lt;&gt;"Cost Share",Personnel!I43/12,0)</f>
        <v>0</v>
      </c>
      <c r="F43" s="149">
        <f>IF(Personnel!$C43&lt;&gt;"Cost Share",Personnel!J43/12,0)</f>
        <v>0</v>
      </c>
      <c r="H43" s="126">
        <f>IF('Labor Detail'!Z43&gt;0,IF(Personnel!$C43&lt;&gt;"Sum",('Labor Detail'!Z43*0.22883)+('Labor Detail'!T43*5659),('Labor Detail'!Z43*0.22883)),0)</f>
        <v>0</v>
      </c>
      <c r="I43" s="126">
        <f>IF('Labor Detail'!AA43&gt;0,IF(Personnel!$C43&lt;&gt;"Sum",('Labor Detail'!AA43*0.22883)+('Labor Detail'!U43*5659),('Labor Detail'!AA43*0.22883)),0)</f>
        <v>0</v>
      </c>
      <c r="J43" s="126">
        <f>IF('Labor Detail'!AB43&gt;0,IF(Personnel!$C43&lt;&gt;"Sum",('Labor Detail'!AB43*0.22883)+('Labor Detail'!V43*5659),('Labor Detail'!AB43*0.22883)),0)</f>
        <v>0</v>
      </c>
      <c r="K43" s="126">
        <f>IF('Labor Detail'!AC43&gt;0,IF(Personnel!$C43&lt;&gt;"Sum",('Labor Detail'!AC43*0.22883)+('Labor Detail'!W43*5659),('Labor Detail'!AC43*0.22883)),0)</f>
        <v>0</v>
      </c>
      <c r="L43" s="126">
        <f>IF('Labor Detail'!AD43&gt;0,IF(Personnel!$C43&lt;&gt;"Sum",('Labor Detail'!AD43*0.22883)+('Labor Detail'!X43*5659),('Labor Detail'!AD43*0.22883)),0)</f>
        <v>0</v>
      </c>
    </row>
    <row r="44" spans="1:12" x14ac:dyDescent="0.3">
      <c r="A44" s="54">
        <f>'Labor Detail'!A44</f>
        <v>0</v>
      </c>
      <c r="B44" s="149">
        <f>IF(Personnel!$C44&lt;&gt;"Cost Share",Personnel!F44/12,0)</f>
        <v>0</v>
      </c>
      <c r="C44" s="149">
        <f>IF(Personnel!$C44&lt;&gt;"Cost Share",Personnel!G44/12,0)</f>
        <v>0</v>
      </c>
      <c r="D44" s="149">
        <f>IF(Personnel!$C44&lt;&gt;"Cost Share",Personnel!H44/12,0)</f>
        <v>0</v>
      </c>
      <c r="E44" s="149">
        <f>IF(Personnel!$C44&lt;&gt;"Cost Share",Personnel!I44/12,0)</f>
        <v>0</v>
      </c>
      <c r="F44" s="149">
        <f>IF(Personnel!$C44&lt;&gt;"Cost Share",Personnel!J44/12,0)</f>
        <v>0</v>
      </c>
      <c r="H44" s="126">
        <f>IF('Labor Detail'!Z44&gt;0,IF(Personnel!$C44&lt;&gt;"Sum",('Labor Detail'!Z44*0.22883)+('Labor Detail'!T44*5659),('Labor Detail'!Z44*0.22883)),0)</f>
        <v>0</v>
      </c>
      <c r="I44" s="126">
        <f>IF('Labor Detail'!AA44&gt;0,IF(Personnel!$C44&lt;&gt;"Sum",('Labor Detail'!AA44*0.22883)+('Labor Detail'!U44*5659),('Labor Detail'!AA44*0.22883)),0)</f>
        <v>0</v>
      </c>
      <c r="J44" s="126">
        <f>IF('Labor Detail'!AB44&gt;0,IF(Personnel!$C44&lt;&gt;"Sum",('Labor Detail'!AB44*0.22883)+('Labor Detail'!V44*5659),('Labor Detail'!AB44*0.22883)),0)</f>
        <v>0</v>
      </c>
      <c r="K44" s="126">
        <f>IF('Labor Detail'!AC44&gt;0,IF(Personnel!$C44&lt;&gt;"Sum",('Labor Detail'!AC44*0.22883)+('Labor Detail'!W44*5659),('Labor Detail'!AC44*0.22883)),0)</f>
        <v>0</v>
      </c>
      <c r="L44" s="126">
        <f>IF('Labor Detail'!AD44&gt;0,IF(Personnel!$C44&lt;&gt;"Sum",('Labor Detail'!AD44*0.22883)+('Labor Detail'!X44*5659),('Labor Detail'!AD44*0.22883)),0)</f>
        <v>0</v>
      </c>
    </row>
    <row r="45" spans="1:12" x14ac:dyDescent="0.3">
      <c r="B45" s="128">
        <f>SUM(B38:B44)</f>
        <v>0</v>
      </c>
      <c r="C45" s="128">
        <f>SUM(C38:C44)</f>
        <v>0</v>
      </c>
      <c r="D45" s="128">
        <f>SUM(D38:D44)</f>
        <v>0</v>
      </c>
      <c r="E45" s="128">
        <f>SUM(E38:E44)</f>
        <v>0</v>
      </c>
      <c r="F45" s="128">
        <f>SUM(F38:F44)</f>
        <v>0</v>
      </c>
      <c r="H45" s="130">
        <f>SUM(H38:H44)</f>
        <v>0</v>
      </c>
      <c r="I45" s="130">
        <f>SUM(I38:I44)</f>
        <v>0</v>
      </c>
      <c r="J45" s="130">
        <f>SUM(J38:J44)</f>
        <v>0</v>
      </c>
      <c r="K45" s="130">
        <f>SUM(K38:K44)</f>
        <v>0</v>
      </c>
      <c r="L45" s="130">
        <f>SUM(L38:L44)</f>
        <v>0</v>
      </c>
    </row>
    <row r="46" spans="1:12" ht="15.6" customHeight="1" x14ac:dyDescent="0.3">
      <c r="B46" s="415" t="s">
        <v>154</v>
      </c>
      <c r="C46" s="395"/>
      <c r="D46" s="395"/>
      <c r="E46" s="395"/>
      <c r="F46" s="395"/>
    </row>
    <row r="47" spans="1:12" x14ac:dyDescent="0.3">
      <c r="A47" s="54">
        <f>'Labor Detail'!A47</f>
        <v>0</v>
      </c>
      <c r="B47" s="149">
        <f>IF(Personnel!$C47&lt;&gt;"Cost Share",Personnel!F47/12,0)</f>
        <v>0</v>
      </c>
      <c r="C47" s="149">
        <f>IF(Personnel!$C47&lt;&gt;"Cost Share",Personnel!G47/12,0)</f>
        <v>0</v>
      </c>
      <c r="D47" s="149">
        <f>IF(Personnel!$C47&lt;&gt;"Cost Share",Personnel!H47/12,0)</f>
        <v>0</v>
      </c>
      <c r="E47" s="149">
        <f>IF(Personnel!$C47&lt;&gt;"Cost Share",Personnel!I47/12,0)</f>
        <v>0</v>
      </c>
      <c r="F47" s="149">
        <f>IF(Personnel!$C47&lt;&gt;"Cost Share",Personnel!J47/12,0)</f>
        <v>0</v>
      </c>
    </row>
    <row r="48" spans="1:12" x14ac:dyDescent="0.3">
      <c r="A48" s="54">
        <f>'Labor Detail'!A48</f>
        <v>0</v>
      </c>
      <c r="B48" s="149">
        <f>IF(Personnel!$C48&lt;&gt;"Cost Share",Personnel!F48/12,0)</f>
        <v>0</v>
      </c>
      <c r="C48" s="149">
        <f>IF(Personnel!$C48&lt;&gt;"Cost Share",Personnel!G48/12,0)</f>
        <v>0</v>
      </c>
      <c r="D48" s="149">
        <f>IF(Personnel!$C48&lt;&gt;"Cost Share",Personnel!H48/12,0)</f>
        <v>0</v>
      </c>
      <c r="E48" s="149">
        <f>IF(Personnel!$C48&lt;&gt;"Cost Share",Personnel!I48/12,0)</f>
        <v>0</v>
      </c>
      <c r="F48" s="149">
        <f>IF(Personnel!$C48&lt;&gt;"Cost Share",Personnel!J48/12,0)</f>
        <v>0</v>
      </c>
    </row>
    <row r="49" spans="1:6" x14ac:dyDescent="0.3">
      <c r="A49" s="54">
        <f>'Labor Detail'!A49</f>
        <v>0</v>
      </c>
      <c r="B49" s="149">
        <f>IF(Personnel!$C49&lt;&gt;"Cost Share",Personnel!F49/12,0)</f>
        <v>0</v>
      </c>
      <c r="C49" s="149">
        <f>IF(Personnel!$C49&lt;&gt;"Cost Share",Personnel!G49/12,0)</f>
        <v>0</v>
      </c>
      <c r="D49" s="149">
        <f>IF(Personnel!$C49&lt;&gt;"Cost Share",Personnel!H49/12,0)</f>
        <v>0</v>
      </c>
      <c r="E49" s="149">
        <f>IF(Personnel!$C49&lt;&gt;"Cost Share",Personnel!I49/12,0)</f>
        <v>0</v>
      </c>
      <c r="F49" s="149">
        <f>IF(Personnel!$C49&lt;&gt;"Cost Share",Personnel!J49/12,0)</f>
        <v>0</v>
      </c>
    </row>
    <row r="50" spans="1:6" x14ac:dyDescent="0.3">
      <c r="A50" s="54">
        <f>'Labor Detail'!A50</f>
        <v>0</v>
      </c>
      <c r="B50" s="149">
        <f>IF(Personnel!$C50&lt;&gt;"Cost Share",Personnel!F50/12,0)</f>
        <v>0</v>
      </c>
      <c r="C50" s="149">
        <f>IF(Personnel!$C50&lt;&gt;"Cost Share",Personnel!G50/12,0)</f>
        <v>0</v>
      </c>
      <c r="D50" s="149">
        <f>IF(Personnel!$C50&lt;&gt;"Cost Share",Personnel!H50/12,0)</f>
        <v>0</v>
      </c>
      <c r="E50" s="149">
        <f>IF(Personnel!$C50&lt;&gt;"Cost Share",Personnel!I50/12,0)</f>
        <v>0</v>
      </c>
      <c r="F50" s="149">
        <f>IF(Personnel!$C50&lt;&gt;"Cost Share",Personnel!J50/12,0)</f>
        <v>0</v>
      </c>
    </row>
    <row r="51" spans="1:6" x14ac:dyDescent="0.3">
      <c r="A51" s="54">
        <f>'Labor Detail'!A51</f>
        <v>0</v>
      </c>
      <c r="B51" s="149">
        <f>IF(Personnel!$C51&lt;&gt;"Cost Share",Personnel!F51/12,0)</f>
        <v>0</v>
      </c>
      <c r="C51" s="149">
        <f>IF(Personnel!$C51&lt;&gt;"Cost Share",Personnel!G51/12,0)</f>
        <v>0</v>
      </c>
      <c r="D51" s="149">
        <f>IF(Personnel!$C51&lt;&gt;"Cost Share",Personnel!H51/12,0)</f>
        <v>0</v>
      </c>
      <c r="E51" s="149">
        <f>IF(Personnel!$C51&lt;&gt;"Cost Share",Personnel!I51/12,0)</f>
        <v>0</v>
      </c>
      <c r="F51" s="149">
        <f>IF(Personnel!$C51&lt;&gt;"Cost Share",Personnel!J51/12,0)</f>
        <v>0</v>
      </c>
    </row>
    <row r="52" spans="1:6" x14ac:dyDescent="0.3">
      <c r="A52" s="54">
        <f>'Labor Detail'!A52</f>
        <v>0</v>
      </c>
      <c r="B52" s="149">
        <f>IF(Personnel!$C52&lt;&gt;"Cost Share",Personnel!F52/12,0)</f>
        <v>0</v>
      </c>
      <c r="C52" s="149">
        <f>IF(Personnel!$C52&lt;&gt;"Cost Share",Personnel!G52/12,0)</f>
        <v>0</v>
      </c>
      <c r="D52" s="149">
        <f>IF(Personnel!$C52&lt;&gt;"Cost Share",Personnel!H52/12,0)</f>
        <v>0</v>
      </c>
      <c r="E52" s="149">
        <f>IF(Personnel!$C52&lt;&gt;"Cost Share",Personnel!I52/12,0)</f>
        <v>0</v>
      </c>
      <c r="F52" s="149">
        <f>IF(Personnel!$C52&lt;&gt;"Cost Share",Personnel!J52/12,0)</f>
        <v>0</v>
      </c>
    </row>
    <row r="53" spans="1:6" x14ac:dyDescent="0.3">
      <c r="B53" s="128">
        <f>SUM(B47:B52)</f>
        <v>0</v>
      </c>
      <c r="C53" s="128">
        <f>SUM(C47:C52)</f>
        <v>0</v>
      </c>
      <c r="D53" s="128">
        <f>SUM(D47:D52)</f>
        <v>0</v>
      </c>
      <c r="E53" s="128">
        <f>SUM(E47:E52)</f>
        <v>0</v>
      </c>
      <c r="F53" s="128">
        <f>SUM(F47:F52)</f>
        <v>0</v>
      </c>
    </row>
    <row r="54" spans="1:6" ht="15.6" customHeight="1" x14ac:dyDescent="0.3">
      <c r="B54" s="415" t="s">
        <v>59</v>
      </c>
      <c r="C54" s="395"/>
      <c r="D54" s="395"/>
      <c r="E54" s="395"/>
      <c r="F54" s="395"/>
    </row>
    <row r="55" spans="1:6" x14ac:dyDescent="0.3">
      <c r="A55" s="54">
        <f>'Labor Detail'!A55</f>
        <v>0</v>
      </c>
      <c r="B55" s="149">
        <f>IF(Personnel!$C55&lt;&gt;"Cost Share",Personnel!F55/12,0)</f>
        <v>0</v>
      </c>
      <c r="C55" s="149">
        <f>IF(Personnel!$C55&lt;&gt;"Cost Share",Personnel!G55/12,0)</f>
        <v>0</v>
      </c>
      <c r="D55" s="149">
        <f>IF(Personnel!$C55&lt;&gt;"Cost Share",Personnel!H55/12,0)</f>
        <v>0</v>
      </c>
      <c r="E55" s="149">
        <f>IF(Personnel!$C55&lt;&gt;"Cost Share",Personnel!I55/12,0)</f>
        <v>0</v>
      </c>
      <c r="F55" s="149">
        <f>IF(Personnel!$C55&lt;&gt;"Cost Share",Personnel!J55/12,0)</f>
        <v>0</v>
      </c>
    </row>
    <row r="56" spans="1:6" x14ac:dyDescent="0.3">
      <c r="A56" s="54">
        <f>'Labor Detail'!A56</f>
        <v>0</v>
      </c>
      <c r="B56" s="149">
        <f>IF(Personnel!$C56&lt;&gt;"Cost Share",Personnel!F56/12,0)</f>
        <v>0</v>
      </c>
      <c r="C56" s="149">
        <f>IF(Personnel!$C56&lt;&gt;"Cost Share",Personnel!G56/12,0)</f>
        <v>0</v>
      </c>
      <c r="D56" s="149">
        <f>IF(Personnel!$C56&lt;&gt;"Cost Share",Personnel!H56/12,0)</f>
        <v>0</v>
      </c>
      <c r="E56" s="149">
        <f>IF(Personnel!$C56&lt;&gt;"Cost Share",Personnel!I56/12,0)</f>
        <v>0</v>
      </c>
      <c r="F56" s="149">
        <f>IF(Personnel!$C56&lt;&gt;"Cost Share",Personnel!J56/12,0)</f>
        <v>0</v>
      </c>
    </row>
    <row r="57" spans="1:6" x14ac:dyDescent="0.3">
      <c r="A57" s="54">
        <f>'Labor Detail'!A57</f>
        <v>0</v>
      </c>
      <c r="B57" s="149">
        <f>IF(Personnel!$C57&lt;&gt;"Cost Share",Personnel!F57/12,0)</f>
        <v>0</v>
      </c>
      <c r="C57" s="149">
        <f>IF(Personnel!$C57&lt;&gt;"Cost Share",Personnel!G57/12,0)</f>
        <v>0</v>
      </c>
      <c r="D57" s="149">
        <f>IF(Personnel!$C57&lt;&gt;"Cost Share",Personnel!H57/12,0)</f>
        <v>0</v>
      </c>
      <c r="E57" s="149">
        <f>IF(Personnel!$C57&lt;&gt;"Cost Share",Personnel!I57/12,0)</f>
        <v>0</v>
      </c>
      <c r="F57" s="149">
        <f>IF(Personnel!$C57&lt;&gt;"Cost Share",Personnel!J57/12,0)</f>
        <v>0</v>
      </c>
    </row>
    <row r="58" spans="1:6" x14ac:dyDescent="0.3">
      <c r="A58" s="54">
        <f>'Labor Detail'!A58</f>
        <v>0</v>
      </c>
      <c r="B58" s="149">
        <f>IF(Personnel!$C58&lt;&gt;"Cost Share",Personnel!F58/12,0)</f>
        <v>0</v>
      </c>
      <c r="C58" s="149">
        <f>IF(Personnel!$C58&lt;&gt;"Cost Share",Personnel!G58/12,0)</f>
        <v>0</v>
      </c>
      <c r="D58" s="149">
        <f>IF(Personnel!$C58&lt;&gt;"Cost Share",Personnel!H58/12,0)</f>
        <v>0</v>
      </c>
      <c r="E58" s="149">
        <f>IF(Personnel!$C58&lt;&gt;"Cost Share",Personnel!I58/12,0)</f>
        <v>0</v>
      </c>
      <c r="F58" s="149">
        <f>IF(Personnel!$C58&lt;&gt;"Cost Share",Personnel!J58/12,0)</f>
        <v>0</v>
      </c>
    </row>
    <row r="59" spans="1:6" x14ac:dyDescent="0.3">
      <c r="A59" s="54">
        <f>'Labor Detail'!A59</f>
        <v>0</v>
      </c>
      <c r="B59" s="149">
        <f>IF(Personnel!$C59&lt;&gt;"Cost Share",Personnel!F59/12,0)</f>
        <v>0</v>
      </c>
      <c r="C59" s="149">
        <f>IF(Personnel!$C59&lt;&gt;"Cost Share",Personnel!G59/12,0)</f>
        <v>0</v>
      </c>
      <c r="D59" s="149">
        <f>IF(Personnel!$C59&lt;&gt;"Cost Share",Personnel!H59/12,0)</f>
        <v>0</v>
      </c>
      <c r="E59" s="149">
        <f>IF(Personnel!$C59&lt;&gt;"Cost Share",Personnel!I59/12,0)</f>
        <v>0</v>
      </c>
      <c r="F59" s="149">
        <f>IF(Personnel!$C59&lt;&gt;"Cost Share",Personnel!J59/12,0)</f>
        <v>0</v>
      </c>
    </row>
    <row r="60" spans="1:6" x14ac:dyDescent="0.3">
      <c r="A60" s="54">
        <f>'Labor Detail'!A60</f>
        <v>0</v>
      </c>
      <c r="B60" s="149">
        <f>IF(Personnel!$C60&lt;&gt;"Cost Share",Personnel!F60/12,0)</f>
        <v>0</v>
      </c>
      <c r="C60" s="149">
        <f>IF(Personnel!$C60&lt;&gt;"Cost Share",Personnel!G60/12,0)</f>
        <v>0</v>
      </c>
      <c r="D60" s="149">
        <f>IF(Personnel!$C60&lt;&gt;"Cost Share",Personnel!H60/12,0)</f>
        <v>0</v>
      </c>
      <c r="E60" s="149">
        <f>IF(Personnel!$C60&lt;&gt;"Cost Share",Personnel!I60/12,0)</f>
        <v>0</v>
      </c>
      <c r="F60" s="149">
        <f>IF(Personnel!$C60&lt;&gt;"Cost Share",Personnel!J60/12,0)</f>
        <v>0</v>
      </c>
    </row>
    <row r="61" spans="1:6" x14ac:dyDescent="0.3">
      <c r="B61" s="127">
        <f>SUM(B55:B60)</f>
        <v>0</v>
      </c>
      <c r="C61" s="127">
        <f>SUM(C55:C60)</f>
        <v>0</v>
      </c>
      <c r="D61" s="127">
        <f>SUM(D55:D60)</f>
        <v>0</v>
      </c>
      <c r="E61" s="127">
        <f>SUM(E55:E60)</f>
        <v>0</v>
      </c>
      <c r="F61" s="127">
        <f>SUM(F55:F60)</f>
        <v>0</v>
      </c>
    </row>
    <row r="62" spans="1:6" ht="15.6" customHeight="1" x14ac:dyDescent="0.3">
      <c r="B62" s="415" t="s">
        <v>56</v>
      </c>
      <c r="C62" s="395"/>
      <c r="D62" s="395"/>
      <c r="E62" s="395"/>
      <c r="F62" s="395"/>
    </row>
    <row r="63" spans="1:6" x14ac:dyDescent="0.3">
      <c r="A63" s="54">
        <f>'Labor Detail'!A63</f>
        <v>0</v>
      </c>
      <c r="B63" s="149">
        <f>IF(Personnel!$C63&lt;&gt;"Cost Share",Personnel!F63/12,0)</f>
        <v>0</v>
      </c>
      <c r="C63" s="149">
        <f>IF(Personnel!$C63&lt;&gt;"Cost Share",Personnel!G63/12,0)</f>
        <v>0</v>
      </c>
      <c r="D63" s="149">
        <f>IF(Personnel!$C63&lt;&gt;"Cost Share",Personnel!H63/12,0)</f>
        <v>0</v>
      </c>
      <c r="E63" s="149">
        <f>IF(Personnel!$C63&lt;&gt;"Cost Share",Personnel!I63/12,0)</f>
        <v>0</v>
      </c>
      <c r="F63" s="149">
        <f>IF(Personnel!$C63&lt;&gt;"Cost Share",Personnel!J63/12,0)</f>
        <v>0</v>
      </c>
    </row>
    <row r="64" spans="1:6" x14ac:dyDescent="0.3">
      <c r="A64" s="54">
        <f>'Labor Detail'!A64</f>
        <v>0</v>
      </c>
      <c r="B64" s="149">
        <f>IF(Personnel!$C64&lt;&gt;"Cost Share",Personnel!F64/12,0)</f>
        <v>0</v>
      </c>
      <c r="C64" s="149">
        <f>IF(Personnel!$C64&lt;&gt;"Cost Share",Personnel!G64/12,0)</f>
        <v>0</v>
      </c>
      <c r="D64" s="149">
        <f>IF(Personnel!$C64&lt;&gt;"Cost Share",Personnel!H64/12,0)</f>
        <v>0</v>
      </c>
      <c r="E64" s="149">
        <f>IF(Personnel!$C64&lt;&gt;"Cost Share",Personnel!I64/12,0)</f>
        <v>0</v>
      </c>
      <c r="F64" s="149">
        <f>IF(Personnel!$C64&lt;&gt;"Cost Share",Personnel!J64/12,0)</f>
        <v>0</v>
      </c>
    </row>
    <row r="65" spans="1:12" x14ac:dyDescent="0.3">
      <c r="A65" s="54">
        <f>'Labor Detail'!A65</f>
        <v>0</v>
      </c>
      <c r="B65" s="149">
        <f>IF(Personnel!$C65&lt;&gt;"Cost Share",Personnel!F65/12,0)</f>
        <v>0</v>
      </c>
      <c r="C65" s="149">
        <f>IF(Personnel!$C65&lt;&gt;"Cost Share",Personnel!G65/12,0)</f>
        <v>0</v>
      </c>
      <c r="D65" s="149">
        <f>IF(Personnel!$C65&lt;&gt;"Cost Share",Personnel!H65/12,0)</f>
        <v>0</v>
      </c>
      <c r="E65" s="149">
        <f>IF(Personnel!$C65&lt;&gt;"Cost Share",Personnel!I65/12,0)</f>
        <v>0</v>
      </c>
      <c r="F65" s="149">
        <f>IF(Personnel!$C65&lt;&gt;"Cost Share",Personnel!J65/12,0)</f>
        <v>0</v>
      </c>
    </row>
    <row r="66" spans="1:12" x14ac:dyDescent="0.3">
      <c r="A66" s="54">
        <f>'Labor Detail'!A66</f>
        <v>0</v>
      </c>
      <c r="B66" s="149">
        <f>IF(Personnel!$C66&lt;&gt;"Cost Share",Personnel!F66/12,0)</f>
        <v>0</v>
      </c>
      <c r="C66" s="149">
        <f>IF(Personnel!$C66&lt;&gt;"Cost Share",Personnel!G66/12,0)</f>
        <v>0</v>
      </c>
      <c r="D66" s="149">
        <f>IF(Personnel!$C66&lt;&gt;"Cost Share",Personnel!H66/12,0)</f>
        <v>0</v>
      </c>
      <c r="E66" s="149">
        <f>IF(Personnel!$C66&lt;&gt;"Cost Share",Personnel!I66/12,0)</f>
        <v>0</v>
      </c>
      <c r="F66" s="149">
        <f>IF(Personnel!$C66&lt;&gt;"Cost Share",Personnel!J66/12,0)</f>
        <v>0</v>
      </c>
    </row>
    <row r="67" spans="1:12" x14ac:dyDescent="0.3">
      <c r="A67" s="54">
        <f>'Labor Detail'!A67</f>
        <v>0</v>
      </c>
      <c r="B67" s="149">
        <f>IF(Personnel!$C67&lt;&gt;"Cost Share",Personnel!F67/12,0)</f>
        <v>0</v>
      </c>
      <c r="C67" s="149">
        <f>IF(Personnel!$C67&lt;&gt;"Cost Share",Personnel!G67/12,0)</f>
        <v>0</v>
      </c>
      <c r="D67" s="149">
        <f>IF(Personnel!$C67&lt;&gt;"Cost Share",Personnel!H67/12,0)</f>
        <v>0</v>
      </c>
      <c r="E67" s="149">
        <f>IF(Personnel!$C67&lt;&gt;"Cost Share",Personnel!I67/12,0)</f>
        <v>0</v>
      </c>
      <c r="F67" s="149">
        <f>IF(Personnel!$C67&lt;&gt;"Cost Share",Personnel!J67/12,0)</f>
        <v>0</v>
      </c>
    </row>
    <row r="68" spans="1:12" x14ac:dyDescent="0.3">
      <c r="A68" s="54">
        <f>'Labor Detail'!A68</f>
        <v>0</v>
      </c>
      <c r="B68" s="149">
        <f>IF(Personnel!$C68&lt;&gt;"Cost Share",Personnel!F68/12,0)</f>
        <v>0</v>
      </c>
      <c r="C68" s="149">
        <f>IF(Personnel!$C68&lt;&gt;"Cost Share",Personnel!G68/12,0)</f>
        <v>0</v>
      </c>
      <c r="D68" s="149">
        <f>IF(Personnel!$C68&lt;&gt;"Cost Share",Personnel!H68/12,0)</f>
        <v>0</v>
      </c>
      <c r="E68" s="149">
        <f>IF(Personnel!$C68&lt;&gt;"Cost Share",Personnel!I68/12,0)</f>
        <v>0</v>
      </c>
      <c r="F68" s="149">
        <f>IF(Personnel!$C68&lt;&gt;"Cost Share",Personnel!J68/12,0)</f>
        <v>0</v>
      </c>
    </row>
    <row r="69" spans="1:12" x14ac:dyDescent="0.3">
      <c r="B69" s="128">
        <f>SUM(B63:B68)</f>
        <v>0</v>
      </c>
      <c r="C69" s="128">
        <f>SUM(C63:C68)</f>
        <v>0</v>
      </c>
      <c r="D69" s="128">
        <f>SUM(D63:D68)</f>
        <v>0</v>
      </c>
      <c r="E69" s="128">
        <f>SUM(E63:E68)</f>
        <v>0</v>
      </c>
      <c r="F69" s="128">
        <f>SUM(F63:F68)</f>
        <v>0</v>
      </c>
    </row>
    <row r="71" spans="1:12" ht="15.6" customHeight="1" x14ac:dyDescent="0.3">
      <c r="B71" s="129">
        <f>B69+B61+B53+B45+B36</f>
        <v>0</v>
      </c>
      <c r="C71" s="129">
        <f>C69+C61+C53+C45+C36</f>
        <v>0</v>
      </c>
      <c r="D71" s="129">
        <f>D69+D61+D53+D45+D36</f>
        <v>0</v>
      </c>
      <c r="E71" s="129">
        <f>E69+E61+E53+E45+E36</f>
        <v>0</v>
      </c>
      <c r="F71" s="129">
        <f>F69+F61+F53+F45+F36</f>
        <v>0</v>
      </c>
    </row>
    <row r="73" spans="1:12" ht="18" customHeight="1" x14ac:dyDescent="0.35">
      <c r="B73" s="417" t="s">
        <v>167</v>
      </c>
      <c r="C73" s="397"/>
      <c r="D73" s="397"/>
      <c r="E73" s="397"/>
      <c r="F73" s="397"/>
      <c r="H73" s="396"/>
      <c r="I73" s="397"/>
      <c r="J73" s="397"/>
      <c r="K73" s="397"/>
      <c r="L73" s="397"/>
    </row>
    <row r="74" spans="1:12" ht="15.6" customHeight="1" x14ac:dyDescent="0.3">
      <c r="B74" s="288" t="str">
        <f>B3</f>
        <v>Year 1</v>
      </c>
      <c r="C74" s="288" t="str">
        <f>C3</f>
        <v>Year 2</v>
      </c>
      <c r="D74" s="288" t="str">
        <f>D3</f>
        <v>Year 3</v>
      </c>
      <c r="E74" s="288" t="str">
        <f>E3</f>
        <v>Year 4</v>
      </c>
      <c r="F74" s="288" t="str">
        <f>F3</f>
        <v>Year 5</v>
      </c>
    </row>
    <row r="75" spans="1:12" ht="15.6" customHeight="1" x14ac:dyDescent="0.3">
      <c r="A75" s="193" t="s">
        <v>122</v>
      </c>
      <c r="B75" s="416" t="s">
        <v>104</v>
      </c>
      <c r="C75" s="399"/>
      <c r="D75" s="399"/>
      <c r="E75" s="399"/>
      <c r="F75" s="400"/>
    </row>
    <row r="76" spans="1:12" x14ac:dyDescent="0.3">
      <c r="A76" t="str">
        <f>'Labor Detail'!A79</f>
        <v/>
      </c>
      <c r="B76" s="149">
        <f>IF(Personnel!$C5="Cost Share",Personnel!F5/Personnel!$E5,0)</f>
        <v>0</v>
      </c>
      <c r="C76" s="149">
        <f>IF(Personnel!$C5="Cost Share",Personnel!G5/Personnel!$E5,0)</f>
        <v>0</v>
      </c>
      <c r="D76" s="149">
        <f>IF(Personnel!$C5="Cost Share",Personnel!H5/Personnel!$E5,0)</f>
        <v>0</v>
      </c>
      <c r="E76" s="149">
        <f>IF(Personnel!$C5="Cost Share",Personnel!I5/Personnel!$E5,0)</f>
        <v>0</v>
      </c>
      <c r="F76" s="149">
        <f>IF(Personnel!$C5="Cost Share",Personnel!J5/Personnel!$E5,0)</f>
        <v>0</v>
      </c>
    </row>
    <row r="77" spans="1:12" x14ac:dyDescent="0.3">
      <c r="A77" t="str">
        <f>'Labor Detail'!A80</f>
        <v/>
      </c>
      <c r="B77" s="149">
        <f>IF(Personnel!$C6="Cost Share",Personnel!F6/Personnel!$E6,0)</f>
        <v>0</v>
      </c>
      <c r="C77" s="149">
        <f>IF(Personnel!$C6="Cost Share",Personnel!G6/Personnel!$E6,0)</f>
        <v>0</v>
      </c>
      <c r="D77" s="149">
        <f>IF(Personnel!$C6="Cost Share",Personnel!H6/Personnel!$E6,0)</f>
        <v>0</v>
      </c>
      <c r="E77" s="149">
        <f>IF(Personnel!$C6="Cost Share",Personnel!I6/Personnel!$E6,0)</f>
        <v>0</v>
      </c>
      <c r="F77" s="149">
        <f>IF(Personnel!$C6="Cost Share",Personnel!J6/Personnel!$E6,0)</f>
        <v>0</v>
      </c>
    </row>
    <row r="78" spans="1:12" x14ac:dyDescent="0.3">
      <c r="A78" t="str">
        <f>'Labor Detail'!A81</f>
        <v/>
      </c>
      <c r="B78" s="149">
        <f>IF(Personnel!$C7="Cost Share",Personnel!F7/Personnel!$E7,0)</f>
        <v>0</v>
      </c>
      <c r="C78" s="149">
        <f>IF(Personnel!$C7="Cost Share",Personnel!G7/Personnel!$E7,0)</f>
        <v>0</v>
      </c>
      <c r="D78" s="149">
        <f>IF(Personnel!$C7="Cost Share",Personnel!H7/Personnel!$E7,0)</f>
        <v>0</v>
      </c>
      <c r="E78" s="149">
        <f>IF(Personnel!$C7="Cost Share",Personnel!I7/Personnel!$E7,0)</f>
        <v>0</v>
      </c>
      <c r="F78" s="149">
        <f>IF(Personnel!$C7="Cost Share",Personnel!J7/Personnel!$E7,0)</f>
        <v>0</v>
      </c>
    </row>
    <row r="79" spans="1:12" x14ac:dyDescent="0.3">
      <c r="A79" t="str">
        <f>'Labor Detail'!A82</f>
        <v/>
      </c>
      <c r="B79" s="149">
        <f>IF(Personnel!$C8="Cost Share",Personnel!F8/Personnel!$E8,0)</f>
        <v>0</v>
      </c>
      <c r="C79" s="149">
        <f>IF(Personnel!$C8="Cost Share",Personnel!G8/Personnel!$E8,0)</f>
        <v>0</v>
      </c>
      <c r="D79" s="149">
        <f>IF(Personnel!$C8="Cost Share",Personnel!H8/Personnel!$E8,0)</f>
        <v>0</v>
      </c>
      <c r="E79" s="149">
        <f>IF(Personnel!$C8="Cost Share",Personnel!I8/Personnel!$E8,0)</f>
        <v>0</v>
      </c>
      <c r="F79" s="149">
        <f>IF(Personnel!$C8="Cost Share",Personnel!J8/Personnel!$E8,0)</f>
        <v>0</v>
      </c>
    </row>
    <row r="80" spans="1:12" x14ac:dyDescent="0.3">
      <c r="A80" t="str">
        <f>'Labor Detail'!A83</f>
        <v/>
      </c>
      <c r="B80" s="149">
        <f>IF(Personnel!$C9="Cost Share",Personnel!F9/Personnel!$E9,0)</f>
        <v>0</v>
      </c>
      <c r="C80" s="149">
        <f>IF(Personnel!$C9="Cost Share",Personnel!G9/Personnel!$E9,0)</f>
        <v>0</v>
      </c>
      <c r="D80" s="149">
        <f>IF(Personnel!$C9="Cost Share",Personnel!H9/Personnel!$E9,0)</f>
        <v>0</v>
      </c>
      <c r="E80" s="149">
        <f>IF(Personnel!$C9="Cost Share",Personnel!I9/Personnel!$E9,0)</f>
        <v>0</v>
      </c>
      <c r="F80" s="149">
        <f>IF(Personnel!$C9="Cost Share",Personnel!J9/Personnel!$E9,0)</f>
        <v>0</v>
      </c>
    </row>
    <row r="81" spans="1:6" x14ac:dyDescent="0.3">
      <c r="B81" s="168">
        <f>SUM(B76:B80)</f>
        <v>0</v>
      </c>
      <c r="C81" s="168">
        <f>SUM(C76:C80)</f>
        <v>0</v>
      </c>
      <c r="D81" s="168">
        <f>SUM(D76:D80)</f>
        <v>0</v>
      </c>
      <c r="E81" s="168">
        <f>SUM(E76:E80)</f>
        <v>0</v>
      </c>
      <c r="F81" s="168">
        <f>SUM(F76:F80)</f>
        <v>0</v>
      </c>
    </row>
    <row r="82" spans="1:6" x14ac:dyDescent="0.3">
      <c r="B82" s="188"/>
      <c r="C82" s="188"/>
      <c r="D82" s="188"/>
      <c r="E82" s="188"/>
      <c r="F82" s="188"/>
    </row>
    <row r="83" spans="1:6" ht="15.6" customHeight="1" x14ac:dyDescent="0.3">
      <c r="B83" s="415" t="s">
        <v>53</v>
      </c>
      <c r="C83" s="395"/>
      <c r="D83" s="395"/>
      <c r="E83" s="395"/>
      <c r="F83" s="395"/>
    </row>
    <row r="84" spans="1:6" x14ac:dyDescent="0.3">
      <c r="A84" t="str">
        <f>'Labor Detail'!A86</f>
        <v/>
      </c>
      <c r="B84" s="149">
        <f>IF(Personnel!$C38="Cost Share",Personnel!F38/12,0)</f>
        <v>0</v>
      </c>
      <c r="C84" s="149">
        <f>IF(Personnel!$C38="Cost Share",Personnel!G38/12,0)</f>
        <v>0</v>
      </c>
      <c r="D84" s="149">
        <f>IF(Personnel!$C38="Cost Share",Personnel!H38/12,0)</f>
        <v>0</v>
      </c>
      <c r="E84" s="149">
        <f>IF(Personnel!$C38="Cost Share",Personnel!I38/12,0)</f>
        <v>0</v>
      </c>
      <c r="F84" s="149">
        <f>IF(Personnel!$C38="Cost Share",Personnel!J38/12,0)</f>
        <v>0</v>
      </c>
    </row>
    <row r="85" spans="1:6" x14ac:dyDescent="0.3">
      <c r="B85" s="149">
        <f>IF(Personnel!$C39="Cost Share",Personnel!F39/12,0)</f>
        <v>0</v>
      </c>
      <c r="C85" s="149">
        <f>IF(Personnel!$C39="Cost Share",Personnel!G39/12,0)</f>
        <v>0</v>
      </c>
      <c r="D85" s="149">
        <f>IF(Personnel!$C39="Cost Share",Personnel!H39/12,0)</f>
        <v>0</v>
      </c>
      <c r="E85" s="149">
        <f>IF(Personnel!$C39="Cost Share",Personnel!I39/12,0)</f>
        <v>0</v>
      </c>
      <c r="F85" s="149">
        <f>IF(Personnel!$C39="Cost Share",Personnel!J39/12,0)</f>
        <v>0</v>
      </c>
    </row>
    <row r="86" spans="1:6" x14ac:dyDescent="0.3">
      <c r="B86" s="149">
        <f>IF(Personnel!$C40="Cost Share",Personnel!F40/12,0)</f>
        <v>0</v>
      </c>
      <c r="C86" s="149">
        <f>IF(Personnel!$C40="Cost Share",Personnel!G40/12,0)</f>
        <v>0</v>
      </c>
      <c r="D86" s="149">
        <f>IF(Personnel!$C40="Cost Share",Personnel!H40/12,0)</f>
        <v>0</v>
      </c>
      <c r="E86" s="149">
        <f>IF(Personnel!$C40="Cost Share",Personnel!I40/12,0)</f>
        <v>0</v>
      </c>
      <c r="F86" s="149">
        <f>IF(Personnel!$C40="Cost Share",Personnel!J40/12,0)</f>
        <v>0</v>
      </c>
    </row>
    <row r="87" spans="1:6" x14ac:dyDescent="0.3">
      <c r="B87" s="149">
        <f>IF(Personnel!$C41="Cost Share",Personnel!F41/12,0)</f>
        <v>0</v>
      </c>
      <c r="C87" s="149">
        <f>IF(Personnel!$C41="Cost Share",Personnel!G41/12,0)</f>
        <v>0</v>
      </c>
      <c r="D87" s="149">
        <f>IF(Personnel!$C41="Cost Share",Personnel!H41/12,0)</f>
        <v>0</v>
      </c>
      <c r="E87" s="149">
        <f>IF(Personnel!$C41="Cost Share",Personnel!I41/12,0)</f>
        <v>0</v>
      </c>
      <c r="F87" s="149">
        <f>IF(Personnel!$C41="Cost Share",Personnel!J41/12,0)</f>
        <v>0</v>
      </c>
    </row>
    <row r="88" spans="1:6" x14ac:dyDescent="0.3">
      <c r="B88" s="149">
        <f>IF(Personnel!$C42="Cost Share",Personnel!F42/12,0)</f>
        <v>0</v>
      </c>
      <c r="C88" s="149">
        <f>IF(Personnel!$C42="Cost Share",Personnel!G42/12,0)</f>
        <v>0</v>
      </c>
      <c r="D88" s="149">
        <f>IF(Personnel!$C42="Cost Share",Personnel!H42/12,0)</f>
        <v>0</v>
      </c>
      <c r="E88" s="149">
        <f>IF(Personnel!$C42="Cost Share",Personnel!I42/12,0)</f>
        <v>0</v>
      </c>
      <c r="F88" s="149">
        <f>IF(Personnel!$C42="Cost Share",Personnel!J42/12,0)</f>
        <v>0</v>
      </c>
    </row>
    <row r="89" spans="1:6" x14ac:dyDescent="0.3">
      <c r="B89" s="169">
        <f>SUM(B84:B88)</f>
        <v>0</v>
      </c>
      <c r="C89" s="169">
        <f>SUM(C84:C88)</f>
        <v>0</v>
      </c>
      <c r="D89" s="169">
        <f>SUM(D84:D88)</f>
        <v>0</v>
      </c>
      <c r="E89" s="169">
        <f>SUM(E84:E88)</f>
        <v>0</v>
      </c>
      <c r="F89" s="169">
        <f>SUM(F84:F88)</f>
        <v>0</v>
      </c>
    </row>
    <row r="90" spans="1:6" s="189" customFormat="1" x14ac:dyDescent="0.3">
      <c r="B90" s="190"/>
      <c r="C90" s="190"/>
      <c r="D90" s="190"/>
      <c r="E90" s="190"/>
      <c r="F90" s="190"/>
    </row>
    <row r="91" spans="1:6" ht="15.6" customHeight="1" x14ac:dyDescent="0.3">
      <c r="B91" s="415" t="s">
        <v>154</v>
      </c>
      <c r="C91" s="395"/>
      <c r="D91" s="395"/>
      <c r="E91" s="395"/>
      <c r="F91" s="395"/>
    </row>
    <row r="92" spans="1:6" x14ac:dyDescent="0.3">
      <c r="A92" t="str">
        <f>'Labor Detail'!A95</f>
        <v/>
      </c>
      <c r="B92" s="149">
        <f>IF(Personnel!$C47="Cost Share",Personnel!F47/12,0)</f>
        <v>0</v>
      </c>
      <c r="C92" s="149">
        <f>IF(Personnel!$C47="Cost Share",Personnel!G47/12,0)</f>
        <v>0</v>
      </c>
      <c r="D92" s="149">
        <f>IF(Personnel!$C47="Cost Share",Personnel!H47/12,0)</f>
        <v>0</v>
      </c>
      <c r="E92" s="149">
        <f>IF(Personnel!$C47="Cost Share",Personnel!I47/12,0)</f>
        <v>0</v>
      </c>
      <c r="F92" s="149">
        <f>IF(Personnel!$C47="Cost Share",Personnel!J47/12,0)</f>
        <v>0</v>
      </c>
    </row>
    <row r="93" spans="1:6" x14ac:dyDescent="0.3">
      <c r="A93" t="str">
        <f>'Labor Detail'!A96</f>
        <v/>
      </c>
      <c r="B93" s="149">
        <f>IF(Personnel!$C48="Cost Share",Personnel!F48/12,0)</f>
        <v>0</v>
      </c>
      <c r="C93" s="149">
        <f>IF(Personnel!$C48="Cost Share",Personnel!G48/12,0)</f>
        <v>0</v>
      </c>
      <c r="D93" s="149">
        <f>IF(Personnel!$C48="Cost Share",Personnel!H48/12,0)</f>
        <v>0</v>
      </c>
      <c r="E93" s="149">
        <f>IF(Personnel!$C48="Cost Share",Personnel!I48/12,0)</f>
        <v>0</v>
      </c>
      <c r="F93" s="149">
        <f>IF(Personnel!$C48="Cost Share",Personnel!J48/12,0)</f>
        <v>0</v>
      </c>
    </row>
    <row r="94" spans="1:6" x14ac:dyDescent="0.3">
      <c r="A94" t="str">
        <f>'Labor Detail'!A97</f>
        <v/>
      </c>
      <c r="B94" s="149">
        <f>IF(Personnel!$C49="Cost Share",Personnel!F49/12,0)</f>
        <v>0</v>
      </c>
      <c r="C94" s="149">
        <f>IF(Personnel!$C49="Cost Share",Personnel!G49/12,0)</f>
        <v>0</v>
      </c>
      <c r="D94" s="149">
        <f>IF(Personnel!$C49="Cost Share",Personnel!H49/12,0)</f>
        <v>0</v>
      </c>
      <c r="E94" s="149">
        <f>IF(Personnel!$C49="Cost Share",Personnel!I49/12,0)</f>
        <v>0</v>
      </c>
      <c r="F94" s="149">
        <f>IF(Personnel!$C49="Cost Share",Personnel!J49/12,0)</f>
        <v>0</v>
      </c>
    </row>
    <row r="95" spans="1:6" x14ac:dyDescent="0.3">
      <c r="A95" t="str">
        <f>'Labor Detail'!A98</f>
        <v/>
      </c>
      <c r="B95" s="149">
        <f>IF(Personnel!$C50="Cost Share",Personnel!F50/12,0)</f>
        <v>0</v>
      </c>
      <c r="C95" s="149">
        <f>IF(Personnel!$C50="Cost Share",Personnel!G50/12,0)</f>
        <v>0</v>
      </c>
      <c r="D95" s="149">
        <f>IF(Personnel!$C50="Cost Share",Personnel!H50/12,0)</f>
        <v>0</v>
      </c>
      <c r="E95" s="149">
        <f>IF(Personnel!$C50="Cost Share",Personnel!I50/12,0)</f>
        <v>0</v>
      </c>
      <c r="F95" s="149">
        <f>IF(Personnel!$C50="Cost Share",Personnel!J50/12,0)</f>
        <v>0</v>
      </c>
    </row>
    <row r="96" spans="1:6" x14ac:dyDescent="0.3">
      <c r="B96" s="169">
        <f>SUM(B92:B95)</f>
        <v>0</v>
      </c>
      <c r="C96" s="169">
        <f>SUM(C92:C95)</f>
        <v>0</v>
      </c>
      <c r="D96" s="169">
        <f>SUM(D92:D95)</f>
        <v>0</v>
      </c>
      <c r="E96" s="169">
        <f>SUM(E92:E95)</f>
        <v>0</v>
      </c>
      <c r="F96" s="169">
        <f>SUM(F92:F95)</f>
        <v>0</v>
      </c>
    </row>
    <row r="97" spans="2:6" s="189" customFormat="1" x14ac:dyDescent="0.3">
      <c r="B97" s="190"/>
      <c r="C97" s="190"/>
      <c r="D97" s="190"/>
      <c r="E97" s="190"/>
      <c r="F97" s="190"/>
    </row>
    <row r="98" spans="2:6" ht="15.6" customHeight="1" x14ac:dyDescent="0.3">
      <c r="B98" s="415" t="s">
        <v>59</v>
      </c>
      <c r="C98" s="395"/>
      <c r="D98" s="395"/>
      <c r="E98" s="395"/>
      <c r="F98" s="395"/>
    </row>
    <row r="99" spans="2:6" x14ac:dyDescent="0.3">
      <c r="B99" s="149">
        <f>IF(Personnel!$C55="Cost Share",Personnel!F55/12,0)</f>
        <v>0</v>
      </c>
      <c r="C99" s="149">
        <f>IF(Personnel!$C55="Cost Share",Personnel!G55/12,0)</f>
        <v>0</v>
      </c>
      <c r="D99" s="149">
        <f>IF(Personnel!$C55="Cost Share",Personnel!H55/12,0)</f>
        <v>0</v>
      </c>
      <c r="E99" s="149">
        <f>IF(Personnel!$C55="Cost Share",Personnel!I55/12,0)</f>
        <v>0</v>
      </c>
      <c r="F99" s="149">
        <f>IF(Personnel!$C55="Cost Share",Personnel!J55/12,0)</f>
        <v>0</v>
      </c>
    </row>
    <row r="100" spans="2:6" x14ac:dyDescent="0.3">
      <c r="B100" s="149">
        <f>IF(Personnel!$C56="Cost Share",Personnel!F56/12,0)</f>
        <v>0</v>
      </c>
      <c r="C100" s="149">
        <f>IF(Personnel!$C56="Cost Share",Personnel!G56/12,0)</f>
        <v>0</v>
      </c>
      <c r="D100" s="149">
        <f>IF(Personnel!$C56="Cost Share",Personnel!H56/12,0)</f>
        <v>0</v>
      </c>
      <c r="E100" s="149">
        <f>IF(Personnel!$C56="Cost Share",Personnel!I56/12,0)</f>
        <v>0</v>
      </c>
      <c r="F100" s="149">
        <f>IF(Personnel!$C56="Cost Share",Personnel!J56/12,0)</f>
        <v>0</v>
      </c>
    </row>
    <row r="101" spans="2:6" x14ac:dyDescent="0.3">
      <c r="B101" s="149">
        <f>IF(Personnel!$C57="Cost Share",Personnel!F57/12,0)</f>
        <v>0</v>
      </c>
      <c r="C101" s="149">
        <f>IF(Personnel!$C57="Cost Share",Personnel!G57/12,0)</f>
        <v>0</v>
      </c>
      <c r="D101" s="149">
        <f>IF(Personnel!$C57="Cost Share",Personnel!H57/12,0)</f>
        <v>0</v>
      </c>
      <c r="E101" s="149">
        <f>IF(Personnel!$C57="Cost Share",Personnel!I57/12,0)</f>
        <v>0</v>
      </c>
      <c r="F101" s="149">
        <f>IF(Personnel!$C57="Cost Share",Personnel!J57/12,0)</f>
        <v>0</v>
      </c>
    </row>
    <row r="102" spans="2:6" x14ac:dyDescent="0.3">
      <c r="B102" s="149">
        <f>IF(Personnel!$C58="Cost Share",Personnel!F58/12,0)</f>
        <v>0</v>
      </c>
      <c r="C102" s="149">
        <f>IF(Personnel!$C58="Cost Share",Personnel!G58/12,0)</f>
        <v>0</v>
      </c>
      <c r="D102" s="149">
        <f>IF(Personnel!$C58="Cost Share",Personnel!H58/12,0)</f>
        <v>0</v>
      </c>
      <c r="E102" s="149">
        <f>IF(Personnel!$C58="Cost Share",Personnel!I58/12,0)</f>
        <v>0</v>
      </c>
      <c r="F102" s="149">
        <f>IF(Personnel!$C58="Cost Share",Personnel!J58/12,0)</f>
        <v>0</v>
      </c>
    </row>
    <row r="103" spans="2:6" x14ac:dyDescent="0.3">
      <c r="B103" s="170">
        <f>SUM(B99:B102)</f>
        <v>0</v>
      </c>
      <c r="C103" s="170">
        <f>SUM(C99:C102)</f>
        <v>0</v>
      </c>
      <c r="D103" s="170">
        <f>SUM(D99:D102)</f>
        <v>0</v>
      </c>
      <c r="E103" s="170">
        <f>SUM(E99:E102)</f>
        <v>0</v>
      </c>
      <c r="F103" s="170">
        <f>SUM(F99:F102)</f>
        <v>0</v>
      </c>
    </row>
    <row r="104" spans="2:6" s="189" customFormat="1" x14ac:dyDescent="0.3">
      <c r="B104" s="191"/>
      <c r="C104" s="191"/>
      <c r="D104" s="191"/>
      <c r="E104" s="191"/>
      <c r="F104" s="191"/>
    </row>
    <row r="105" spans="2:6" ht="15.6" customHeight="1" x14ac:dyDescent="0.3">
      <c r="B105" s="415" t="s">
        <v>56</v>
      </c>
      <c r="C105" s="395"/>
      <c r="D105" s="395"/>
      <c r="E105" s="395"/>
      <c r="F105" s="395"/>
    </row>
    <row r="106" spans="2:6" x14ac:dyDescent="0.3">
      <c r="B106" s="149">
        <f>IF(Personnel!$C63="Cost Share",Personnel!F63/12,0)</f>
        <v>0</v>
      </c>
      <c r="C106" s="149">
        <f>IF(Personnel!$C63="Cost Share",Personnel!G63/12,0)</f>
        <v>0</v>
      </c>
      <c r="D106" s="149">
        <f>IF(Personnel!$C63="Cost Share",Personnel!H63/12,0)</f>
        <v>0</v>
      </c>
      <c r="E106" s="149">
        <f>IF(Personnel!$C63="Cost Share",Personnel!I63/12,0)</f>
        <v>0</v>
      </c>
      <c r="F106" s="149">
        <f>IF(Personnel!$C63="Cost Share",Personnel!J63/12,0)</f>
        <v>0</v>
      </c>
    </row>
    <row r="107" spans="2:6" x14ac:dyDescent="0.3">
      <c r="B107" s="149">
        <f>IF(Personnel!$C64="Cost Share",Personnel!F64/12,0)</f>
        <v>0</v>
      </c>
      <c r="C107" s="149">
        <f>IF(Personnel!$C64="Cost Share",Personnel!G64/12,0)</f>
        <v>0</v>
      </c>
      <c r="D107" s="149">
        <f>IF(Personnel!$C64="Cost Share",Personnel!H64/12,0)</f>
        <v>0</v>
      </c>
      <c r="E107" s="149">
        <f>IF(Personnel!$C64="Cost Share",Personnel!I64/12,0)</f>
        <v>0</v>
      </c>
      <c r="F107" s="149">
        <f>IF(Personnel!$C64="Cost Share",Personnel!J64/12,0)</f>
        <v>0</v>
      </c>
    </row>
    <row r="108" spans="2:6" x14ac:dyDescent="0.3">
      <c r="B108" s="149">
        <f>IF(Personnel!$C65="Cost Share",Personnel!F65/12,0)</f>
        <v>0</v>
      </c>
      <c r="C108" s="149">
        <f>IF(Personnel!$C65="Cost Share",Personnel!G65/12,0)</f>
        <v>0</v>
      </c>
      <c r="D108" s="149">
        <f>IF(Personnel!$C65="Cost Share",Personnel!H65/12,0)</f>
        <v>0</v>
      </c>
      <c r="E108" s="149">
        <f>IF(Personnel!$C65="Cost Share",Personnel!I65/12,0)</f>
        <v>0</v>
      </c>
      <c r="F108" s="149">
        <f>IF(Personnel!$C65="Cost Share",Personnel!J65/12,0)</f>
        <v>0</v>
      </c>
    </row>
    <row r="109" spans="2:6" x14ac:dyDescent="0.3">
      <c r="B109" s="149">
        <f>IF(Personnel!$C66="Cost Share",Personnel!F66/12,0)</f>
        <v>0</v>
      </c>
      <c r="C109" s="149">
        <f>IF(Personnel!$C66="Cost Share",Personnel!G66/12,0)</f>
        <v>0</v>
      </c>
      <c r="D109" s="149">
        <f>IF(Personnel!$C66="Cost Share",Personnel!H66/12,0)</f>
        <v>0</v>
      </c>
      <c r="E109" s="149">
        <f>IF(Personnel!$C66="Cost Share",Personnel!I66/12,0)</f>
        <v>0</v>
      </c>
      <c r="F109" s="149">
        <f>IF(Personnel!$C66="Cost Share",Personnel!J66/12,0)</f>
        <v>0</v>
      </c>
    </row>
    <row r="110" spans="2:6" x14ac:dyDescent="0.3">
      <c r="B110" s="169">
        <f>SUM(B106:B109)</f>
        <v>0</v>
      </c>
      <c r="C110" s="169">
        <f>SUM(C106:C109)</f>
        <v>0</v>
      </c>
      <c r="D110" s="169">
        <f>SUM(D106:D109)</f>
        <v>0</v>
      </c>
      <c r="E110" s="169">
        <f>SUM(E106:E109)</f>
        <v>0</v>
      </c>
      <c r="F110" s="169">
        <f>SUM(F106:F109)</f>
        <v>0</v>
      </c>
    </row>
    <row r="112" spans="2:6" ht="15.6" customHeight="1" x14ac:dyDescent="0.3">
      <c r="B112" s="194">
        <f>B110+B103+B96+B89+B81</f>
        <v>0</v>
      </c>
      <c r="C112" s="194">
        <f>C110+C103+C96+C89+C81</f>
        <v>0</v>
      </c>
      <c r="D112" s="194">
        <f>D110+D103+D96+D89+D81</f>
        <v>0</v>
      </c>
      <c r="E112" s="194">
        <f>E110+E103+E96+E89+E81</f>
        <v>0</v>
      </c>
      <c r="F112" s="194">
        <f>F110+F103+F96+F89+F81</f>
        <v>0</v>
      </c>
    </row>
  </sheetData>
  <mergeCells count="14">
    <mergeCell ref="H73:L73"/>
    <mergeCell ref="B98:F98"/>
    <mergeCell ref="B37:F37"/>
    <mergeCell ref="B105:F105"/>
    <mergeCell ref="B83:F83"/>
    <mergeCell ref="B75:F75"/>
    <mergeCell ref="B73:F73"/>
    <mergeCell ref="B91:F91"/>
    <mergeCell ref="H1:L1"/>
    <mergeCell ref="B46:F46"/>
    <mergeCell ref="B1:F1"/>
    <mergeCell ref="B4:F4"/>
    <mergeCell ref="B62:F62"/>
    <mergeCell ref="B54:F54"/>
  </mergeCells>
  <pageMargins left="0.7" right="0.7" top="0.75" bottom="0.75" header="0.3" footer="0.3"/>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46"/>
  <sheetViews>
    <sheetView zoomScale="120" zoomScaleNormal="120" workbookViewId="0">
      <selection activeCell="B3" sqref="B3"/>
    </sheetView>
  </sheetViews>
  <sheetFormatPr defaultColWidth="8.6640625" defaultRowHeight="14.4" x14ac:dyDescent="0.3"/>
  <cols>
    <col min="1" max="1" width="25.44140625" customWidth="1"/>
    <col min="2" max="3" width="12.44140625" customWidth="1"/>
    <col min="4" max="4" width="14.109375" bestFit="1" customWidth="1"/>
    <col min="5" max="8" width="12.44140625" customWidth="1"/>
    <col min="9" max="9" width="14.109375" bestFit="1" customWidth="1"/>
    <col min="10" max="10" width="35.44140625" customWidth="1"/>
    <col min="11" max="13" width="13" hidden="1" customWidth="1"/>
  </cols>
  <sheetData>
    <row r="1" spans="1:13" x14ac:dyDescent="0.3">
      <c r="A1" s="326"/>
    </row>
    <row r="2" spans="1:13" ht="46.95" customHeight="1" x14ac:dyDescent="0.3">
      <c r="A2" s="5" t="s">
        <v>168</v>
      </c>
      <c r="B2" s="6" t="s">
        <v>169</v>
      </c>
      <c r="C2" s="6" t="s">
        <v>170</v>
      </c>
      <c r="D2" s="6" t="s">
        <v>171</v>
      </c>
      <c r="E2" s="6" t="s">
        <v>172</v>
      </c>
      <c r="F2" s="6" t="s">
        <v>173</v>
      </c>
      <c r="G2" s="6" t="s">
        <v>174</v>
      </c>
      <c r="H2" s="6" t="s">
        <v>175</v>
      </c>
      <c r="I2" s="6" t="s">
        <v>20</v>
      </c>
      <c r="J2" s="5" t="s">
        <v>21</v>
      </c>
      <c r="K2" s="12" t="s">
        <v>176</v>
      </c>
      <c r="L2" s="12">
        <v>1</v>
      </c>
      <c r="M2" s="3" t="s">
        <v>177</v>
      </c>
    </row>
    <row r="3" spans="1:13" ht="15.6" customHeight="1" x14ac:dyDescent="0.3">
      <c r="A3" s="349"/>
      <c r="B3" s="139"/>
      <c r="C3" s="58" t="s">
        <v>178</v>
      </c>
      <c r="D3" s="141">
        <v>0</v>
      </c>
      <c r="E3" s="141">
        <v>0</v>
      </c>
      <c r="F3" s="141">
        <v>0</v>
      </c>
      <c r="G3" s="141">
        <v>0</v>
      </c>
      <c r="H3" s="141">
        <v>0</v>
      </c>
      <c r="I3" s="1">
        <f t="shared" ref="I3:I13" si="0">ROUND(B3*(D3+E3+F3+G3+H3),0)</f>
        <v>0</v>
      </c>
      <c r="J3" s="140"/>
      <c r="K3" s="12" t="s">
        <v>178</v>
      </c>
      <c r="L3" s="12">
        <v>2</v>
      </c>
      <c r="M3" s="3" t="s">
        <v>179</v>
      </c>
    </row>
    <row r="4" spans="1:13" ht="15.6" customHeight="1" x14ac:dyDescent="0.3">
      <c r="A4" s="140"/>
      <c r="B4" s="139"/>
      <c r="C4" s="58" t="s">
        <v>178</v>
      </c>
      <c r="D4" s="141"/>
      <c r="E4" s="141">
        <v>0</v>
      </c>
      <c r="F4" s="141">
        <v>0</v>
      </c>
      <c r="G4" s="141">
        <v>0</v>
      </c>
      <c r="H4" s="141">
        <v>0</v>
      </c>
      <c r="I4" s="1">
        <f t="shared" si="0"/>
        <v>0</v>
      </c>
      <c r="J4" s="140"/>
      <c r="K4" s="12" t="s">
        <v>180</v>
      </c>
      <c r="L4" s="12">
        <v>3</v>
      </c>
      <c r="M4" s="3" t="s">
        <v>181</v>
      </c>
    </row>
    <row r="5" spans="1:13" ht="15.6" customHeight="1" x14ac:dyDescent="0.3">
      <c r="A5" s="140"/>
      <c r="B5" s="139"/>
      <c r="C5" s="58" t="s">
        <v>178</v>
      </c>
      <c r="D5" s="141">
        <v>0</v>
      </c>
      <c r="E5" s="141"/>
      <c r="F5" s="141"/>
      <c r="G5" s="141"/>
      <c r="H5" s="141"/>
      <c r="I5" s="1">
        <f t="shared" si="0"/>
        <v>0</v>
      </c>
      <c r="J5" s="140"/>
      <c r="L5" s="12">
        <v>4</v>
      </c>
      <c r="M5" s="3" t="s">
        <v>182</v>
      </c>
    </row>
    <row r="6" spans="1:13" ht="15.6" customHeight="1" x14ac:dyDescent="0.3">
      <c r="A6" s="140"/>
      <c r="B6" s="139"/>
      <c r="C6" s="58" t="s">
        <v>176</v>
      </c>
      <c r="D6" s="141">
        <v>0</v>
      </c>
      <c r="E6" s="141">
        <v>0</v>
      </c>
      <c r="F6" s="141"/>
      <c r="G6" s="141"/>
      <c r="H6" s="141"/>
      <c r="I6" s="1">
        <f t="shared" si="0"/>
        <v>0</v>
      </c>
      <c r="J6" s="140"/>
      <c r="L6" s="12">
        <v>5</v>
      </c>
      <c r="M6" s="3"/>
    </row>
    <row r="7" spans="1:13" ht="15.6" customHeight="1" x14ac:dyDescent="0.3">
      <c r="A7" s="345"/>
      <c r="B7" s="139"/>
      <c r="C7" s="58" t="s">
        <v>176</v>
      </c>
      <c r="D7" s="141"/>
      <c r="E7" s="141">
        <v>0</v>
      </c>
      <c r="F7" s="141"/>
      <c r="G7" s="141"/>
      <c r="H7" s="141"/>
      <c r="I7" s="1">
        <f t="shared" si="0"/>
        <v>0</v>
      </c>
      <c r="J7" s="140"/>
      <c r="L7" s="12" t="s">
        <v>183</v>
      </c>
      <c r="M7" s="3"/>
    </row>
    <row r="8" spans="1:13" x14ac:dyDescent="0.3">
      <c r="A8" s="140"/>
      <c r="B8" s="139"/>
      <c r="C8" s="58" t="s">
        <v>176</v>
      </c>
      <c r="D8" s="141"/>
      <c r="E8" s="141"/>
      <c r="F8" s="141"/>
      <c r="G8" s="141"/>
      <c r="H8" s="141"/>
      <c r="I8" s="1">
        <f t="shared" si="0"/>
        <v>0</v>
      </c>
      <c r="J8" s="140"/>
    </row>
    <row r="9" spans="1:13" x14ac:dyDescent="0.3">
      <c r="A9" s="140"/>
      <c r="B9" s="139"/>
      <c r="C9" s="58" t="s">
        <v>176</v>
      </c>
      <c r="D9" s="141"/>
      <c r="E9" s="141"/>
      <c r="F9" s="141"/>
      <c r="G9" s="141"/>
      <c r="H9" s="141"/>
      <c r="I9" s="1">
        <f t="shared" si="0"/>
        <v>0</v>
      </c>
      <c r="J9" s="140"/>
    </row>
    <row r="10" spans="1:13" ht="15.6" customHeight="1" x14ac:dyDescent="0.3">
      <c r="A10" s="140"/>
      <c r="B10" s="139"/>
      <c r="C10" s="58" t="s">
        <v>176</v>
      </c>
      <c r="D10" s="141"/>
      <c r="E10" s="141"/>
      <c r="F10" s="141"/>
      <c r="G10" s="141"/>
      <c r="H10" s="141"/>
      <c r="I10" s="1">
        <f t="shared" si="0"/>
        <v>0</v>
      </c>
      <c r="J10" s="140"/>
      <c r="M10" s="3"/>
    </row>
    <row r="11" spans="1:13" ht="15.6" customHeight="1" x14ac:dyDescent="0.3">
      <c r="A11" s="140"/>
      <c r="B11" s="139"/>
      <c r="C11" s="58" t="s">
        <v>176</v>
      </c>
      <c r="D11" s="141"/>
      <c r="E11" s="141"/>
      <c r="F11" s="141"/>
      <c r="G11" s="141"/>
      <c r="H11" s="141"/>
      <c r="I11" s="1">
        <f t="shared" si="0"/>
        <v>0</v>
      </c>
      <c r="J11" s="140"/>
      <c r="M11" s="3"/>
    </row>
    <row r="12" spans="1:13" x14ac:dyDescent="0.3">
      <c r="A12" s="140"/>
      <c r="B12" s="139"/>
      <c r="C12" s="58" t="s">
        <v>176</v>
      </c>
      <c r="D12" s="141"/>
      <c r="E12" s="141"/>
      <c r="F12" s="141"/>
      <c r="G12" s="141"/>
      <c r="H12" s="141"/>
      <c r="I12" s="1">
        <f t="shared" si="0"/>
        <v>0</v>
      </c>
      <c r="J12" s="140"/>
    </row>
    <row r="13" spans="1:13" ht="15.6" customHeight="1" x14ac:dyDescent="0.3">
      <c r="A13" s="140"/>
      <c r="B13" s="139"/>
      <c r="C13" s="58" t="s">
        <v>176</v>
      </c>
      <c r="D13" s="141"/>
      <c r="E13" s="141"/>
      <c r="F13" s="141"/>
      <c r="G13" s="141"/>
      <c r="H13" s="141"/>
      <c r="I13" s="1">
        <f t="shared" si="0"/>
        <v>0</v>
      </c>
      <c r="J13" s="140"/>
      <c r="M13" s="3"/>
    </row>
    <row r="14" spans="1:13" s="10" customFormat="1" ht="15.6" customHeight="1" x14ac:dyDescent="0.3">
      <c r="B14" s="4"/>
      <c r="C14" s="4"/>
      <c r="D14" s="4"/>
      <c r="E14" s="4"/>
      <c r="F14" s="4"/>
      <c r="G14" s="4"/>
      <c r="H14" s="4"/>
      <c r="K14" s="322"/>
      <c r="L14" s="322"/>
      <c r="M14" s="322"/>
    </row>
    <row r="15" spans="1:13" ht="15.6" hidden="1" customHeight="1" x14ac:dyDescent="0.3">
      <c r="A15" s="7"/>
      <c r="C15" s="11"/>
      <c r="D15" s="117">
        <f t="shared" ref="D15:H25" si="1">IF(D3&gt;0,(D3*$B3),0)</f>
        <v>0</v>
      </c>
      <c r="E15" s="117">
        <f t="shared" si="1"/>
        <v>0</v>
      </c>
      <c r="F15" s="117">
        <f t="shared" si="1"/>
        <v>0</v>
      </c>
      <c r="G15" s="117">
        <f t="shared" si="1"/>
        <v>0</v>
      </c>
      <c r="H15" s="117">
        <f t="shared" si="1"/>
        <v>0</v>
      </c>
      <c r="I15" s="44"/>
      <c r="J15" s="322"/>
    </row>
    <row r="16" spans="1:13" hidden="1" x14ac:dyDescent="0.3">
      <c r="D16" s="117">
        <f t="shared" si="1"/>
        <v>0</v>
      </c>
      <c r="E16" s="117">
        <f t="shared" si="1"/>
        <v>0</v>
      </c>
      <c r="F16" s="117">
        <f t="shared" si="1"/>
        <v>0</v>
      </c>
      <c r="G16" s="117">
        <f t="shared" si="1"/>
        <v>0</v>
      </c>
      <c r="H16" s="117">
        <f t="shared" si="1"/>
        <v>0</v>
      </c>
      <c r="I16" s="44"/>
    </row>
    <row r="17" spans="2:9" hidden="1" x14ac:dyDescent="0.3">
      <c r="D17" s="117">
        <f t="shared" si="1"/>
        <v>0</v>
      </c>
      <c r="E17" s="117">
        <f t="shared" si="1"/>
        <v>0</v>
      </c>
      <c r="F17" s="117">
        <f t="shared" si="1"/>
        <v>0</v>
      </c>
      <c r="G17" s="117">
        <f t="shared" si="1"/>
        <v>0</v>
      </c>
      <c r="H17" s="117">
        <f t="shared" si="1"/>
        <v>0</v>
      </c>
      <c r="I17" s="44"/>
    </row>
    <row r="18" spans="2:9" hidden="1" x14ac:dyDescent="0.3">
      <c r="D18" s="117">
        <f t="shared" si="1"/>
        <v>0</v>
      </c>
      <c r="E18" s="117">
        <f t="shared" si="1"/>
        <v>0</v>
      </c>
      <c r="F18" s="117">
        <f t="shared" si="1"/>
        <v>0</v>
      </c>
      <c r="G18" s="117">
        <f t="shared" si="1"/>
        <v>0</v>
      </c>
      <c r="H18" s="117">
        <f t="shared" si="1"/>
        <v>0</v>
      </c>
      <c r="I18" s="44"/>
    </row>
    <row r="19" spans="2:9" hidden="1" x14ac:dyDescent="0.3">
      <c r="D19" s="117">
        <f t="shared" si="1"/>
        <v>0</v>
      </c>
      <c r="E19" s="117">
        <f t="shared" si="1"/>
        <v>0</v>
      </c>
      <c r="F19" s="117">
        <f t="shared" si="1"/>
        <v>0</v>
      </c>
      <c r="G19" s="117">
        <f t="shared" si="1"/>
        <v>0</v>
      </c>
      <c r="H19" s="117">
        <f t="shared" si="1"/>
        <v>0</v>
      </c>
      <c r="I19" s="44"/>
    </row>
    <row r="20" spans="2:9" hidden="1" x14ac:dyDescent="0.3">
      <c r="D20" s="117">
        <f t="shared" si="1"/>
        <v>0</v>
      </c>
      <c r="E20" s="117">
        <f t="shared" si="1"/>
        <v>0</v>
      </c>
      <c r="F20" s="117">
        <f t="shared" si="1"/>
        <v>0</v>
      </c>
      <c r="G20" s="117">
        <f t="shared" si="1"/>
        <v>0</v>
      </c>
      <c r="H20" s="117">
        <f t="shared" si="1"/>
        <v>0</v>
      </c>
      <c r="I20" s="44"/>
    </row>
    <row r="21" spans="2:9" hidden="1" x14ac:dyDescent="0.3">
      <c r="D21" s="117">
        <f t="shared" si="1"/>
        <v>0</v>
      </c>
      <c r="E21" s="117">
        <f t="shared" si="1"/>
        <v>0</v>
      </c>
      <c r="F21" s="117">
        <f t="shared" si="1"/>
        <v>0</v>
      </c>
      <c r="G21" s="117">
        <f t="shared" si="1"/>
        <v>0</v>
      </c>
      <c r="H21" s="117">
        <f t="shared" si="1"/>
        <v>0</v>
      </c>
      <c r="I21" s="44"/>
    </row>
    <row r="22" spans="2:9" hidden="1" x14ac:dyDescent="0.3">
      <c r="D22" s="117">
        <f t="shared" si="1"/>
        <v>0</v>
      </c>
      <c r="E22" s="117">
        <f t="shared" si="1"/>
        <v>0</v>
      </c>
      <c r="F22" s="117">
        <f t="shared" si="1"/>
        <v>0</v>
      </c>
      <c r="G22" s="117">
        <f t="shared" si="1"/>
        <v>0</v>
      </c>
      <c r="H22" s="117">
        <f t="shared" si="1"/>
        <v>0</v>
      </c>
      <c r="I22" s="44"/>
    </row>
    <row r="23" spans="2:9" hidden="1" x14ac:dyDescent="0.3">
      <c r="D23" s="117">
        <f t="shared" si="1"/>
        <v>0</v>
      </c>
      <c r="E23" s="117">
        <f t="shared" si="1"/>
        <v>0</v>
      </c>
      <c r="F23" s="117">
        <f t="shared" si="1"/>
        <v>0</v>
      </c>
      <c r="G23" s="117">
        <f t="shared" si="1"/>
        <v>0</v>
      </c>
      <c r="H23" s="117">
        <f t="shared" si="1"/>
        <v>0</v>
      </c>
      <c r="I23" s="44"/>
    </row>
    <row r="24" spans="2:9" hidden="1" x14ac:dyDescent="0.3">
      <c r="D24" s="117">
        <f t="shared" si="1"/>
        <v>0</v>
      </c>
      <c r="E24" s="117">
        <f t="shared" si="1"/>
        <v>0</v>
      </c>
      <c r="F24" s="117">
        <f t="shared" si="1"/>
        <v>0</v>
      </c>
      <c r="G24" s="117">
        <f t="shared" si="1"/>
        <v>0</v>
      </c>
      <c r="H24" s="117">
        <f t="shared" si="1"/>
        <v>0</v>
      </c>
      <c r="I24" s="44"/>
    </row>
    <row r="25" spans="2:9" hidden="1" x14ac:dyDescent="0.3">
      <c r="D25" s="117">
        <f t="shared" si="1"/>
        <v>0</v>
      </c>
      <c r="E25" s="117">
        <f t="shared" si="1"/>
        <v>0</v>
      </c>
      <c r="F25" s="117">
        <f t="shared" si="1"/>
        <v>0</v>
      </c>
      <c r="G25" s="117">
        <f t="shared" si="1"/>
        <v>0</v>
      </c>
      <c r="H25" s="117">
        <f t="shared" si="1"/>
        <v>0</v>
      </c>
      <c r="I25" s="44"/>
    </row>
    <row r="26" spans="2:9" ht="15.6" customHeight="1" x14ac:dyDescent="0.3">
      <c r="B26" s="7" t="s">
        <v>22</v>
      </c>
      <c r="D26" s="116">
        <f>ROUND(SUM(D15:D25),0)</f>
        <v>0</v>
      </c>
      <c r="E26" s="116">
        <f>ROUND(SUM(E15:E25),0)</f>
        <v>0</v>
      </c>
      <c r="F26" s="116">
        <f>ROUND(SUM(F15:F25),0)</f>
        <v>0</v>
      </c>
      <c r="G26" s="116">
        <f>ROUND(SUM(G15:G25),0)</f>
        <v>0</v>
      </c>
      <c r="H26" s="116">
        <f>ROUND(SUM(H15:H25),0)</f>
        <v>0</v>
      </c>
      <c r="I26" s="116">
        <f>SUM(D26:H26)</f>
        <v>0</v>
      </c>
    </row>
    <row r="28" spans="2:9" hidden="1" x14ac:dyDescent="0.3"/>
    <row r="29" spans="2:9" hidden="1" x14ac:dyDescent="0.3">
      <c r="D29" s="117">
        <f t="shared" ref="D29:H39" si="2">IF($C3="Cost Share",D15,0)</f>
        <v>0</v>
      </c>
      <c r="E29" s="117">
        <f t="shared" si="2"/>
        <v>0</v>
      </c>
      <c r="F29" s="117">
        <f t="shared" si="2"/>
        <v>0</v>
      </c>
      <c r="G29" s="117">
        <f t="shared" si="2"/>
        <v>0</v>
      </c>
      <c r="H29" s="117">
        <f t="shared" si="2"/>
        <v>0</v>
      </c>
      <c r="I29" s="44"/>
    </row>
    <row r="30" spans="2:9" hidden="1" x14ac:dyDescent="0.3">
      <c r="D30" s="117">
        <f t="shared" si="2"/>
        <v>0</v>
      </c>
      <c r="E30" s="117">
        <f t="shared" si="2"/>
        <v>0</v>
      </c>
      <c r="F30" s="117">
        <f t="shared" si="2"/>
        <v>0</v>
      </c>
      <c r="G30" s="117">
        <f t="shared" si="2"/>
        <v>0</v>
      </c>
      <c r="H30" s="117">
        <f t="shared" si="2"/>
        <v>0</v>
      </c>
      <c r="I30" s="44"/>
    </row>
    <row r="31" spans="2:9" hidden="1" x14ac:dyDescent="0.3">
      <c r="D31" s="117">
        <f t="shared" si="2"/>
        <v>0</v>
      </c>
      <c r="E31" s="117">
        <f t="shared" si="2"/>
        <v>0</v>
      </c>
      <c r="F31" s="117">
        <f t="shared" si="2"/>
        <v>0</v>
      </c>
      <c r="G31" s="117">
        <f t="shared" si="2"/>
        <v>0</v>
      </c>
      <c r="H31" s="117">
        <f t="shared" si="2"/>
        <v>0</v>
      </c>
      <c r="I31" s="44"/>
    </row>
    <row r="32" spans="2:9" hidden="1" x14ac:dyDescent="0.3">
      <c r="D32" s="117">
        <f t="shared" si="2"/>
        <v>0</v>
      </c>
      <c r="E32" s="117">
        <f t="shared" si="2"/>
        <v>0</v>
      </c>
      <c r="F32" s="117">
        <f t="shared" si="2"/>
        <v>0</v>
      </c>
      <c r="G32" s="117">
        <f t="shared" si="2"/>
        <v>0</v>
      </c>
      <c r="H32" s="117">
        <f t="shared" si="2"/>
        <v>0</v>
      </c>
      <c r="I32" s="44"/>
    </row>
    <row r="33" spans="1:9" hidden="1" x14ac:dyDescent="0.3">
      <c r="D33" s="117">
        <f t="shared" si="2"/>
        <v>0</v>
      </c>
      <c r="E33" s="117">
        <f t="shared" si="2"/>
        <v>0</v>
      </c>
      <c r="F33" s="117">
        <f t="shared" si="2"/>
        <v>0</v>
      </c>
      <c r="G33" s="117">
        <f t="shared" si="2"/>
        <v>0</v>
      </c>
      <c r="H33" s="117">
        <f t="shared" si="2"/>
        <v>0</v>
      </c>
      <c r="I33" s="44"/>
    </row>
    <row r="34" spans="1:9" hidden="1" x14ac:dyDescent="0.3">
      <c r="D34" s="117">
        <f t="shared" si="2"/>
        <v>0</v>
      </c>
      <c r="E34" s="117">
        <f t="shared" si="2"/>
        <v>0</v>
      </c>
      <c r="F34" s="117">
        <f t="shared" si="2"/>
        <v>0</v>
      </c>
      <c r="G34" s="117">
        <f t="shared" si="2"/>
        <v>0</v>
      </c>
      <c r="H34" s="117">
        <f t="shared" si="2"/>
        <v>0</v>
      </c>
      <c r="I34" s="44"/>
    </row>
    <row r="35" spans="1:9" hidden="1" x14ac:dyDescent="0.3">
      <c r="D35" s="117">
        <f t="shared" si="2"/>
        <v>0</v>
      </c>
      <c r="E35" s="117">
        <f t="shared" si="2"/>
        <v>0</v>
      </c>
      <c r="F35" s="117">
        <f t="shared" si="2"/>
        <v>0</v>
      </c>
      <c r="G35" s="117">
        <f t="shared" si="2"/>
        <v>0</v>
      </c>
      <c r="H35" s="117">
        <f t="shared" si="2"/>
        <v>0</v>
      </c>
      <c r="I35" s="44"/>
    </row>
    <row r="36" spans="1:9" hidden="1" x14ac:dyDescent="0.3">
      <c r="D36" s="117">
        <f t="shared" si="2"/>
        <v>0</v>
      </c>
      <c r="E36" s="117">
        <f t="shared" si="2"/>
        <v>0</v>
      </c>
      <c r="F36" s="117">
        <f t="shared" si="2"/>
        <v>0</v>
      </c>
      <c r="G36" s="117">
        <f t="shared" si="2"/>
        <v>0</v>
      </c>
      <c r="H36" s="117">
        <f t="shared" si="2"/>
        <v>0</v>
      </c>
      <c r="I36" s="44"/>
    </row>
    <row r="37" spans="1:9" hidden="1" x14ac:dyDescent="0.3">
      <c r="D37" s="117">
        <f t="shared" si="2"/>
        <v>0</v>
      </c>
      <c r="E37" s="117">
        <f t="shared" si="2"/>
        <v>0</v>
      </c>
      <c r="F37" s="117">
        <f t="shared" si="2"/>
        <v>0</v>
      </c>
      <c r="G37" s="117">
        <f t="shared" si="2"/>
        <v>0</v>
      </c>
      <c r="H37" s="117">
        <f t="shared" si="2"/>
        <v>0</v>
      </c>
      <c r="I37" s="44"/>
    </row>
    <row r="38" spans="1:9" hidden="1" x14ac:dyDescent="0.3">
      <c r="D38" s="117">
        <f t="shared" si="2"/>
        <v>0</v>
      </c>
      <c r="E38" s="117">
        <f t="shared" si="2"/>
        <v>0</v>
      </c>
      <c r="F38" s="117">
        <f t="shared" si="2"/>
        <v>0</v>
      </c>
      <c r="G38" s="117">
        <f t="shared" si="2"/>
        <v>0</v>
      </c>
      <c r="H38" s="117">
        <f t="shared" si="2"/>
        <v>0</v>
      </c>
      <c r="I38" s="44"/>
    </row>
    <row r="39" spans="1:9" hidden="1" x14ac:dyDescent="0.3">
      <c r="D39" s="117">
        <f t="shared" si="2"/>
        <v>0</v>
      </c>
      <c r="E39" s="117">
        <f t="shared" si="2"/>
        <v>0</v>
      </c>
      <c r="F39" s="117">
        <f t="shared" si="2"/>
        <v>0</v>
      </c>
      <c r="G39" s="117">
        <f t="shared" si="2"/>
        <v>0</v>
      </c>
      <c r="H39" s="117">
        <f t="shared" si="2"/>
        <v>0</v>
      </c>
      <c r="I39" s="44"/>
    </row>
    <row r="40" spans="1:9" ht="15.6" customHeight="1" x14ac:dyDescent="0.3">
      <c r="B40" s="7" t="s">
        <v>184</v>
      </c>
      <c r="D40" s="116">
        <f>ROUND(SUM(D29:D39),0)</f>
        <v>0</v>
      </c>
      <c r="E40" s="116">
        <f>ROUND(SUM(E29:E39),0)</f>
        <v>0</v>
      </c>
      <c r="F40" s="116">
        <f>ROUND(SUM(F29:F39),0)</f>
        <v>0</v>
      </c>
      <c r="G40" s="116">
        <f>ROUND(SUM(G29:G39),0)</f>
        <v>0</v>
      </c>
      <c r="H40" s="116">
        <f>ROUND(SUM(H29:H39),0)</f>
        <v>0</v>
      </c>
      <c r="I40" s="116">
        <f>SUM(D40:H40)</f>
        <v>0</v>
      </c>
    </row>
    <row r="43" spans="1:9" hidden="1" x14ac:dyDescent="0.3">
      <c r="A43" t="s">
        <v>178</v>
      </c>
    </row>
    <row r="44" spans="1:9" hidden="1" x14ac:dyDescent="0.3">
      <c r="A44" t="s">
        <v>176</v>
      </c>
    </row>
    <row r="45" spans="1:9" hidden="1" x14ac:dyDescent="0.3">
      <c r="A45" t="s">
        <v>180</v>
      </c>
    </row>
    <row r="46" spans="1:9" hidden="1" x14ac:dyDescent="0.3">
      <c r="A46" t="s">
        <v>25</v>
      </c>
    </row>
  </sheetData>
  <sheetProtection algorithmName="SHA-512" hashValue="/E1+wdKz3cRASsJriWYuy1edX5WSoYSr2VtOToO4c+xJmJLtO4Pggftfhb+IgObpJxO6QKZ5oqngMUqd7tUiXQ==" saltValue="wcLKFHuGoKA5GqWFOcWqfg==" spinCount="100000" sheet="1" objects="1" scenarios="1"/>
  <dataValidations count="2">
    <dataValidation type="list" allowBlank="1" showInputMessage="1" showErrorMessage="1" sqref="C3:C13" xr:uid="{00000000-0002-0000-0600-000000000000}">
      <formula1>$A$43:$A$46</formula1>
    </dataValidation>
    <dataValidation type="whole" operator="greaterThan" allowBlank="1" showInputMessage="1" showErrorMessage="1" errorTitle="Invalid Entry" error="The per unit cost for equipment must be greater than $5,000 USD" sqref="B3:B13" xr:uid="{00000000-0002-0000-0600-000001000000}">
      <formula1>5000</formula1>
    </dataValidation>
  </dataValidations>
  <pageMargins left="0.7" right="0.7" top="0.75" bottom="0.75" header="0.3" footer="0.3"/>
  <pageSetup scale="74" orientation="landscape"/>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56"/>
  <sheetViews>
    <sheetView topLeftCell="B2" zoomScale="110" zoomScaleNormal="110" workbookViewId="0">
      <selection activeCell="E5" sqref="E5"/>
    </sheetView>
  </sheetViews>
  <sheetFormatPr defaultColWidth="9.109375" defaultRowHeight="14.4" x14ac:dyDescent="0.3"/>
  <cols>
    <col min="1" max="1" width="25.44140625" customWidth="1"/>
    <col min="2" max="2" width="21.109375" customWidth="1"/>
    <col min="3" max="3" width="10.33203125" customWidth="1"/>
    <col min="4" max="4" width="12.44140625" customWidth="1"/>
    <col min="5" max="13" width="10.6640625" customWidth="1"/>
    <col min="14" max="18" width="12.44140625" customWidth="1"/>
    <col min="19" max="19" width="45.6640625" customWidth="1"/>
  </cols>
  <sheetData>
    <row r="1" spans="1:19" ht="18" customHeight="1" x14ac:dyDescent="0.35">
      <c r="A1" s="11" t="s">
        <v>0</v>
      </c>
      <c r="B1" s="344" t="s">
        <v>1</v>
      </c>
    </row>
    <row r="2" spans="1:19" ht="18" customHeight="1" x14ac:dyDescent="0.35">
      <c r="A2" s="11" t="s">
        <v>2</v>
      </c>
      <c r="B2" s="344" t="s">
        <v>1</v>
      </c>
      <c r="K2" s="13"/>
      <c r="L2" s="30"/>
      <c r="M2" s="326"/>
      <c r="N2" s="28"/>
      <c r="O2" s="28"/>
      <c r="P2" s="28"/>
      <c r="Q2" s="28"/>
    </row>
    <row r="3" spans="1:19" ht="46.95" customHeight="1" x14ac:dyDescent="0.3">
      <c r="A3" s="5" t="s">
        <v>3</v>
      </c>
      <c r="B3" s="5" t="s">
        <v>4</v>
      </c>
      <c r="C3" s="5" t="s">
        <v>5</v>
      </c>
      <c r="D3" s="6" t="s">
        <v>6</v>
      </c>
      <c r="E3" s="6" t="s">
        <v>7</v>
      </c>
      <c r="F3" s="6" t="s">
        <v>8</v>
      </c>
      <c r="G3" s="6" t="s">
        <v>9</v>
      </c>
      <c r="H3" s="6" t="s">
        <v>10</v>
      </c>
      <c r="I3" s="6" t="s">
        <v>11</v>
      </c>
      <c r="J3" s="6" t="s">
        <v>12</v>
      </c>
      <c r="K3" s="6" t="s">
        <v>13</v>
      </c>
      <c r="L3" s="6" t="s">
        <v>14</v>
      </c>
      <c r="M3" s="6" t="s">
        <v>15</v>
      </c>
      <c r="N3" s="6" t="s">
        <v>16</v>
      </c>
      <c r="O3" s="6" t="s">
        <v>17</v>
      </c>
      <c r="P3" s="6" t="s">
        <v>18</v>
      </c>
      <c r="Q3" s="6" t="s">
        <v>19</v>
      </c>
      <c r="R3" s="6" t="s">
        <v>20</v>
      </c>
      <c r="S3" s="5" t="s">
        <v>21</v>
      </c>
    </row>
    <row r="4" spans="1:19" x14ac:dyDescent="0.3">
      <c r="A4" s="140"/>
      <c r="B4" s="182"/>
      <c r="C4" s="182"/>
      <c r="D4" s="181"/>
      <c r="E4" s="139"/>
      <c r="F4" s="139">
        <v>0</v>
      </c>
      <c r="G4" s="139">
        <v>0</v>
      </c>
      <c r="H4" s="139">
        <v>0</v>
      </c>
      <c r="I4" s="139">
        <v>0</v>
      </c>
      <c r="J4" s="139">
        <v>0</v>
      </c>
      <c r="K4" s="139">
        <v>0</v>
      </c>
      <c r="L4" s="142">
        <v>0</v>
      </c>
      <c r="M4" s="142">
        <v>0</v>
      </c>
      <c r="N4" s="142">
        <v>0</v>
      </c>
      <c r="O4" s="139">
        <v>0</v>
      </c>
      <c r="P4" s="139">
        <v>0</v>
      </c>
      <c r="Q4" s="139"/>
      <c r="R4" s="1">
        <f t="shared" ref="R4:R14" si="0">ROUND((O4*J4*(E4+F4+G4+H4+I4))+(M4*K4*(E4+F4+G4+H4+I4)*J4)+(L4*K4*(E4+F4+G4+H4+I4))+(P4*(E4+F4+G4+H4+I4))+(Q4*(E4+F4+G4+H4+I4))+(N4*(J4-1)*(E4+F4+G4+H4+I4)*K4),0)</f>
        <v>0</v>
      </c>
      <c r="S4" s="345"/>
    </row>
    <row r="5" spans="1:19" x14ac:dyDescent="0.3">
      <c r="A5" s="140"/>
      <c r="B5" s="182"/>
      <c r="C5" s="182"/>
      <c r="D5" s="181"/>
      <c r="E5" s="139">
        <v>0</v>
      </c>
      <c r="F5" s="139">
        <v>0</v>
      </c>
      <c r="G5" s="139">
        <v>0</v>
      </c>
      <c r="H5" s="139">
        <v>0</v>
      </c>
      <c r="I5" s="139">
        <v>0</v>
      </c>
      <c r="J5" s="139">
        <v>0</v>
      </c>
      <c r="K5" s="139">
        <v>0</v>
      </c>
      <c r="L5" s="142">
        <v>0</v>
      </c>
      <c r="M5" s="142">
        <v>0</v>
      </c>
      <c r="N5" s="142">
        <v>0</v>
      </c>
      <c r="O5" s="139">
        <v>0</v>
      </c>
      <c r="P5" s="139">
        <v>0</v>
      </c>
      <c r="Q5" s="139">
        <v>0</v>
      </c>
      <c r="R5" s="1">
        <f t="shared" si="0"/>
        <v>0</v>
      </c>
      <c r="S5" s="345"/>
    </row>
    <row r="6" spans="1:19" x14ac:dyDescent="0.3">
      <c r="A6" s="140"/>
      <c r="B6" s="182"/>
      <c r="C6" s="182"/>
      <c r="D6" s="181"/>
      <c r="E6" s="139">
        <v>0</v>
      </c>
      <c r="F6" s="139">
        <v>0</v>
      </c>
      <c r="G6" s="139">
        <v>0</v>
      </c>
      <c r="H6" s="139">
        <v>0</v>
      </c>
      <c r="I6" s="139">
        <v>0</v>
      </c>
      <c r="J6" s="139">
        <v>0</v>
      </c>
      <c r="K6" s="139">
        <v>0</v>
      </c>
      <c r="L6" s="142">
        <v>0</v>
      </c>
      <c r="M6" s="142">
        <v>0</v>
      </c>
      <c r="N6" s="142">
        <v>0</v>
      </c>
      <c r="O6" s="139">
        <v>0</v>
      </c>
      <c r="P6" s="139">
        <v>0</v>
      </c>
      <c r="Q6" s="139">
        <v>0</v>
      </c>
      <c r="R6" s="1">
        <f t="shared" si="0"/>
        <v>0</v>
      </c>
      <c r="S6" s="140"/>
    </row>
    <row r="7" spans="1:19" x14ac:dyDescent="0.3">
      <c r="A7" s="140"/>
      <c r="B7" s="182"/>
      <c r="C7" s="182"/>
      <c r="D7" s="181"/>
      <c r="E7" s="139">
        <v>0</v>
      </c>
      <c r="F7" s="139">
        <v>0</v>
      </c>
      <c r="G7" s="139">
        <v>0</v>
      </c>
      <c r="H7" s="139">
        <v>0</v>
      </c>
      <c r="I7" s="139">
        <v>0</v>
      </c>
      <c r="J7" s="139">
        <v>0</v>
      </c>
      <c r="K7" s="139">
        <v>0</v>
      </c>
      <c r="L7" s="142">
        <v>0</v>
      </c>
      <c r="M7" s="142">
        <v>0</v>
      </c>
      <c r="N7" s="142">
        <v>0</v>
      </c>
      <c r="O7" s="139">
        <v>0</v>
      </c>
      <c r="P7" s="139">
        <v>0</v>
      </c>
      <c r="Q7" s="139">
        <v>0</v>
      </c>
      <c r="R7" s="1">
        <f t="shared" si="0"/>
        <v>0</v>
      </c>
      <c r="S7" s="140"/>
    </row>
    <row r="8" spans="1:19" x14ac:dyDescent="0.3">
      <c r="A8" s="140"/>
      <c r="B8" s="182"/>
      <c r="C8" s="182"/>
      <c r="D8" s="181"/>
      <c r="E8" s="139">
        <v>0</v>
      </c>
      <c r="F8" s="139">
        <v>0</v>
      </c>
      <c r="G8" s="139">
        <v>0</v>
      </c>
      <c r="H8" s="139">
        <v>0</v>
      </c>
      <c r="I8" s="139">
        <v>0</v>
      </c>
      <c r="J8" s="139">
        <v>0</v>
      </c>
      <c r="K8" s="139">
        <v>0</v>
      </c>
      <c r="L8" s="142">
        <v>0</v>
      </c>
      <c r="M8" s="142">
        <v>0</v>
      </c>
      <c r="N8" s="142">
        <v>0</v>
      </c>
      <c r="O8" s="139">
        <v>0</v>
      </c>
      <c r="P8" s="139">
        <v>0</v>
      </c>
      <c r="Q8" s="139">
        <v>0</v>
      </c>
      <c r="R8" s="1">
        <f t="shared" si="0"/>
        <v>0</v>
      </c>
      <c r="S8" s="345"/>
    </row>
    <row r="9" spans="1:19" x14ac:dyDescent="0.3">
      <c r="A9" s="140"/>
      <c r="B9" s="182"/>
      <c r="C9" s="182"/>
      <c r="D9" s="181"/>
      <c r="E9" s="139">
        <v>0</v>
      </c>
      <c r="F9" s="139">
        <v>0</v>
      </c>
      <c r="G9" s="139">
        <v>0</v>
      </c>
      <c r="H9" s="139">
        <v>0</v>
      </c>
      <c r="I9" s="139">
        <v>0</v>
      </c>
      <c r="J9" s="139">
        <v>0</v>
      </c>
      <c r="K9" s="139">
        <v>0</v>
      </c>
      <c r="L9" s="142">
        <v>0</v>
      </c>
      <c r="M9" s="142">
        <v>0</v>
      </c>
      <c r="N9" s="142">
        <v>0</v>
      </c>
      <c r="O9" s="139">
        <v>0</v>
      </c>
      <c r="P9" s="139">
        <v>0</v>
      </c>
      <c r="Q9" s="139">
        <v>0</v>
      </c>
      <c r="R9" s="1">
        <f t="shared" si="0"/>
        <v>0</v>
      </c>
      <c r="S9" s="140"/>
    </row>
    <row r="10" spans="1:19" x14ac:dyDescent="0.3">
      <c r="A10" s="140"/>
      <c r="B10" s="182"/>
      <c r="C10" s="182"/>
      <c r="D10" s="181"/>
      <c r="E10" s="139">
        <v>0</v>
      </c>
      <c r="F10" s="139">
        <v>0</v>
      </c>
      <c r="G10" s="139">
        <v>0</v>
      </c>
      <c r="H10" s="139">
        <v>0</v>
      </c>
      <c r="I10" s="139">
        <v>0</v>
      </c>
      <c r="J10" s="139">
        <v>0</v>
      </c>
      <c r="K10" s="139">
        <v>0</v>
      </c>
      <c r="L10" s="142">
        <v>0</v>
      </c>
      <c r="M10" s="142">
        <v>0</v>
      </c>
      <c r="N10" s="142">
        <v>0</v>
      </c>
      <c r="O10" s="139">
        <v>0</v>
      </c>
      <c r="P10" s="139">
        <v>0</v>
      </c>
      <c r="Q10" s="139">
        <v>0</v>
      </c>
      <c r="R10" s="1">
        <f t="shared" si="0"/>
        <v>0</v>
      </c>
      <c r="S10" s="140"/>
    </row>
    <row r="11" spans="1:19" x14ac:dyDescent="0.3">
      <c r="A11" s="140"/>
      <c r="B11" s="182"/>
      <c r="C11" s="182"/>
      <c r="D11" s="181"/>
      <c r="E11" s="139">
        <v>0</v>
      </c>
      <c r="F11" s="139">
        <v>0</v>
      </c>
      <c r="G11" s="139">
        <v>0</v>
      </c>
      <c r="H11" s="139">
        <v>0</v>
      </c>
      <c r="I11" s="139">
        <v>0</v>
      </c>
      <c r="J11" s="139">
        <v>0</v>
      </c>
      <c r="K11" s="139">
        <v>0</v>
      </c>
      <c r="L11" s="142">
        <v>0</v>
      </c>
      <c r="M11" s="142">
        <v>0</v>
      </c>
      <c r="N11" s="142">
        <v>0</v>
      </c>
      <c r="O11" s="139">
        <v>0</v>
      </c>
      <c r="P11" s="139">
        <v>0</v>
      </c>
      <c r="Q11" s="139">
        <v>0</v>
      </c>
      <c r="R11" s="1">
        <f t="shared" si="0"/>
        <v>0</v>
      </c>
      <c r="S11" s="140"/>
    </row>
    <row r="12" spans="1:19" x14ac:dyDescent="0.3">
      <c r="A12" s="140"/>
      <c r="B12" s="182"/>
      <c r="C12" s="182"/>
      <c r="D12" s="181"/>
      <c r="E12" s="139">
        <v>0</v>
      </c>
      <c r="F12" s="139">
        <v>0</v>
      </c>
      <c r="G12" s="139">
        <v>0</v>
      </c>
      <c r="H12" s="139">
        <v>0</v>
      </c>
      <c r="I12" s="139">
        <v>0</v>
      </c>
      <c r="J12" s="139">
        <v>0</v>
      </c>
      <c r="K12" s="139">
        <v>0</v>
      </c>
      <c r="L12" s="142">
        <v>0</v>
      </c>
      <c r="M12" s="142">
        <v>0</v>
      </c>
      <c r="N12" s="142">
        <v>0</v>
      </c>
      <c r="O12" s="139">
        <v>0</v>
      </c>
      <c r="P12" s="139">
        <v>0</v>
      </c>
      <c r="Q12" s="139">
        <v>0</v>
      </c>
      <c r="R12" s="1">
        <f t="shared" si="0"/>
        <v>0</v>
      </c>
      <c r="S12" s="140"/>
    </row>
    <row r="13" spans="1:19" x14ac:dyDescent="0.3">
      <c r="A13" s="140"/>
      <c r="B13" s="182"/>
      <c r="C13" s="182"/>
      <c r="D13" s="181"/>
      <c r="E13" s="139">
        <v>0</v>
      </c>
      <c r="F13" s="139">
        <v>0</v>
      </c>
      <c r="G13" s="139">
        <v>0</v>
      </c>
      <c r="H13" s="139">
        <v>0</v>
      </c>
      <c r="I13" s="139">
        <v>0</v>
      </c>
      <c r="J13" s="139">
        <v>0</v>
      </c>
      <c r="K13" s="139">
        <v>0</v>
      </c>
      <c r="L13" s="142">
        <v>0</v>
      </c>
      <c r="M13" s="142">
        <v>0</v>
      </c>
      <c r="N13" s="142">
        <v>0</v>
      </c>
      <c r="O13" s="139">
        <v>0</v>
      </c>
      <c r="P13" s="139">
        <v>0</v>
      </c>
      <c r="Q13" s="139">
        <v>0</v>
      </c>
      <c r="R13" s="1">
        <f t="shared" si="0"/>
        <v>0</v>
      </c>
      <c r="S13" s="140"/>
    </row>
    <row r="14" spans="1:19" x14ac:dyDescent="0.3">
      <c r="A14" s="140"/>
      <c r="B14" s="182"/>
      <c r="C14" s="182"/>
      <c r="D14" s="181"/>
      <c r="E14" s="139">
        <v>0</v>
      </c>
      <c r="F14" s="139">
        <v>0</v>
      </c>
      <c r="G14" s="139">
        <v>0</v>
      </c>
      <c r="H14" s="139">
        <v>0</v>
      </c>
      <c r="I14" s="139">
        <v>0</v>
      </c>
      <c r="J14" s="139">
        <v>0</v>
      </c>
      <c r="K14" s="139">
        <v>0</v>
      </c>
      <c r="L14" s="142">
        <v>0</v>
      </c>
      <c r="M14" s="142">
        <v>0</v>
      </c>
      <c r="N14" s="142">
        <v>0</v>
      </c>
      <c r="O14" s="139">
        <v>0</v>
      </c>
      <c r="P14" s="139">
        <v>0</v>
      </c>
      <c r="Q14" s="139">
        <v>0</v>
      </c>
      <c r="R14" s="1">
        <f t="shared" si="0"/>
        <v>0</v>
      </c>
      <c r="S14" s="140"/>
    </row>
    <row r="15" spans="1:19" x14ac:dyDescent="0.3">
      <c r="E15" s="4"/>
      <c r="F15" s="4"/>
      <c r="G15" s="4"/>
      <c r="H15" s="4"/>
      <c r="I15" s="4"/>
      <c r="J15" s="4"/>
      <c r="K15" s="4"/>
      <c r="L15" s="4"/>
      <c r="M15" s="4"/>
      <c r="N15" s="4"/>
      <c r="O15" s="4"/>
      <c r="P15" s="4"/>
      <c r="Q15" s="4"/>
    </row>
    <row r="16" spans="1:19" s="10" customFormat="1" ht="15.6" customHeight="1" x14ac:dyDescent="0.3">
      <c r="A16" s="322"/>
      <c r="B16" s="7" t="s">
        <v>22</v>
      </c>
      <c r="C16" s="7"/>
      <c r="D16" s="7"/>
      <c r="E16" s="8">
        <f>ROUND(SUM(E21:E31),0)</f>
        <v>0</v>
      </c>
      <c r="F16" s="8">
        <f>ROUND(SUM(F21:F31),0)</f>
        <v>0</v>
      </c>
      <c r="G16" s="8">
        <f>ROUND(SUM(G21:G31),0)</f>
        <v>0</v>
      </c>
      <c r="H16" s="8">
        <f>ROUND(SUM(H21:H31),0)</f>
        <v>0</v>
      </c>
      <c r="I16" s="8">
        <f>ROUND(SUM(I21:I31),0)</f>
        <v>0</v>
      </c>
      <c r="J16" s="11"/>
      <c r="O16" s="322"/>
      <c r="P16" s="11"/>
      <c r="Q16" s="11"/>
      <c r="R16" s="8">
        <f>ROUND(SUM(R4:R14),0)</f>
        <v>0</v>
      </c>
      <c r="S16" s="322"/>
    </row>
    <row r="17" spans="1:19" s="10" customFormat="1" ht="15.6" customHeight="1" x14ac:dyDescent="0.3">
      <c r="A17" s="322"/>
      <c r="B17" s="7" t="s">
        <v>23</v>
      </c>
      <c r="C17" s="7"/>
      <c r="D17" s="7"/>
      <c r="E17" s="123">
        <f>ROUND(E16-E18-E19,0)</f>
        <v>0</v>
      </c>
      <c r="F17" s="123">
        <f>ROUND(F16-F18-F19,0)</f>
        <v>0</v>
      </c>
      <c r="G17" s="123">
        <f>ROUND(G16-G18-G19,0)</f>
        <v>0</v>
      </c>
      <c r="H17" s="123">
        <f>ROUND(H16-H18-H19,0)</f>
        <v>0</v>
      </c>
      <c r="I17" s="123">
        <f>ROUND(I16-I18-I19,0)</f>
        <v>0</v>
      </c>
      <c r="J17" s="11"/>
      <c r="K17" s="11"/>
      <c r="L17" s="11"/>
      <c r="M17" s="11"/>
      <c r="N17" s="11"/>
      <c r="O17" s="322"/>
      <c r="P17" s="11"/>
      <c r="Q17" s="11"/>
      <c r="R17" s="11"/>
      <c r="S17" s="322"/>
    </row>
    <row r="18" spans="1:19" s="10" customFormat="1" ht="15.6" customHeight="1" x14ac:dyDescent="0.3">
      <c r="B18" s="7" t="s">
        <v>24</v>
      </c>
      <c r="C18" s="7"/>
      <c r="D18" s="7"/>
      <c r="E18" s="123">
        <f>ROUND(SUM(E33:E43),0)</f>
        <v>0</v>
      </c>
      <c r="F18" s="123">
        <f>ROUND(SUM(F33:F43),0)</f>
        <v>0</v>
      </c>
      <c r="G18" s="123">
        <f>ROUND(SUM(G33:G43),0)</f>
        <v>0</v>
      </c>
      <c r="H18" s="123">
        <f>ROUND(SUM(H33:H43),0)</f>
        <v>0</v>
      </c>
      <c r="I18" s="123">
        <f>ROUND(SUM(I33:I43),0)</f>
        <v>0</v>
      </c>
      <c r="J18" s="11"/>
      <c r="K18" s="11"/>
      <c r="L18" s="11"/>
      <c r="M18" s="11"/>
      <c r="N18" s="11"/>
      <c r="O18" s="322"/>
      <c r="P18" s="11"/>
      <c r="Q18" s="11"/>
      <c r="R18" s="11"/>
    </row>
    <row r="19" spans="1:19" s="10" customFormat="1" ht="15.6" customHeight="1" x14ac:dyDescent="0.3">
      <c r="B19" s="7" t="s">
        <v>25</v>
      </c>
      <c r="C19" s="7"/>
      <c r="D19" s="7"/>
      <c r="E19" s="123">
        <f>ROUND(SUM(E45:E55),0)</f>
        <v>0</v>
      </c>
      <c r="F19" s="123">
        <f>ROUND(SUM(F45:F55),0)</f>
        <v>0</v>
      </c>
      <c r="G19" s="123">
        <f>ROUND(SUM(G45:G55),0)</f>
        <v>0</v>
      </c>
      <c r="H19" s="123">
        <f>ROUND(SUM(H45:H55),0)</f>
        <v>0</v>
      </c>
      <c r="I19" s="123">
        <f>ROUND(SUM(I45:I55),0)</f>
        <v>0</v>
      </c>
      <c r="J19" s="11"/>
      <c r="K19" s="11"/>
      <c r="L19" s="11"/>
      <c r="M19" s="11"/>
      <c r="N19" s="11"/>
      <c r="O19" s="322"/>
      <c r="P19" s="11"/>
      <c r="Q19" s="11"/>
      <c r="R19" s="11"/>
    </row>
    <row r="20" spans="1:19" hidden="1" x14ac:dyDescent="0.3">
      <c r="E20" s="418" t="s">
        <v>26</v>
      </c>
      <c r="F20" s="399"/>
      <c r="G20" s="399"/>
      <c r="H20" s="399"/>
      <c r="I20" s="399"/>
    </row>
    <row r="21" spans="1:19" hidden="1" x14ac:dyDescent="0.3">
      <c r="E21" s="122">
        <f t="shared" ref="E21:I31" si="1">($O4*$J4*E4)+(($M4*$K4*E4)*$J4)+($L4*$K4*E4)+($P4*E4)+($Q4*E4)+($N4*($J4-1)*E4*$K4)</f>
        <v>0</v>
      </c>
      <c r="F21" s="122">
        <f t="shared" si="1"/>
        <v>0</v>
      </c>
      <c r="G21" s="122">
        <f t="shared" si="1"/>
        <v>0</v>
      </c>
      <c r="H21" s="122">
        <f t="shared" si="1"/>
        <v>0</v>
      </c>
      <c r="I21" s="122">
        <f t="shared" si="1"/>
        <v>0</v>
      </c>
    </row>
    <row r="22" spans="1:19" hidden="1" x14ac:dyDescent="0.3">
      <c r="E22" s="122">
        <f t="shared" si="1"/>
        <v>0</v>
      </c>
      <c r="F22" s="122">
        <f t="shared" si="1"/>
        <v>0</v>
      </c>
      <c r="G22" s="122">
        <f t="shared" si="1"/>
        <v>0</v>
      </c>
      <c r="H22" s="122">
        <f t="shared" si="1"/>
        <v>0</v>
      </c>
      <c r="I22" s="122">
        <f t="shared" si="1"/>
        <v>0</v>
      </c>
    </row>
    <row r="23" spans="1:19" hidden="1" x14ac:dyDescent="0.3">
      <c r="E23" s="122">
        <f t="shared" si="1"/>
        <v>0</v>
      </c>
      <c r="F23" s="122">
        <f t="shared" si="1"/>
        <v>0</v>
      </c>
      <c r="G23" s="122">
        <f t="shared" si="1"/>
        <v>0</v>
      </c>
      <c r="H23" s="122">
        <f t="shared" si="1"/>
        <v>0</v>
      </c>
      <c r="I23" s="122">
        <f t="shared" si="1"/>
        <v>0</v>
      </c>
    </row>
    <row r="24" spans="1:19" hidden="1" x14ac:dyDescent="0.3">
      <c r="E24" s="122">
        <f t="shared" si="1"/>
        <v>0</v>
      </c>
      <c r="F24" s="122">
        <f t="shared" si="1"/>
        <v>0</v>
      </c>
      <c r="G24" s="122">
        <f t="shared" si="1"/>
        <v>0</v>
      </c>
      <c r="H24" s="122">
        <f t="shared" si="1"/>
        <v>0</v>
      </c>
      <c r="I24" s="122">
        <f t="shared" si="1"/>
        <v>0</v>
      </c>
    </row>
    <row r="25" spans="1:19" hidden="1" x14ac:dyDescent="0.3">
      <c r="E25" s="122">
        <f t="shared" si="1"/>
        <v>0</v>
      </c>
      <c r="F25" s="122">
        <f t="shared" si="1"/>
        <v>0</v>
      </c>
      <c r="G25" s="122">
        <f t="shared" si="1"/>
        <v>0</v>
      </c>
      <c r="H25" s="122">
        <f t="shared" si="1"/>
        <v>0</v>
      </c>
      <c r="I25" s="122">
        <f t="shared" si="1"/>
        <v>0</v>
      </c>
    </row>
    <row r="26" spans="1:19" hidden="1" x14ac:dyDescent="0.3">
      <c r="E26" s="122">
        <f t="shared" si="1"/>
        <v>0</v>
      </c>
      <c r="F26" s="122">
        <f t="shared" si="1"/>
        <v>0</v>
      </c>
      <c r="G26" s="122">
        <f t="shared" si="1"/>
        <v>0</v>
      </c>
      <c r="H26" s="122">
        <f t="shared" si="1"/>
        <v>0</v>
      </c>
      <c r="I26" s="122">
        <f t="shared" si="1"/>
        <v>0</v>
      </c>
    </row>
    <row r="27" spans="1:19" hidden="1" x14ac:dyDescent="0.3">
      <c r="E27" s="122">
        <f t="shared" si="1"/>
        <v>0</v>
      </c>
      <c r="F27" s="122">
        <f t="shared" si="1"/>
        <v>0</v>
      </c>
      <c r="G27" s="122">
        <f t="shared" si="1"/>
        <v>0</v>
      </c>
      <c r="H27" s="122">
        <f t="shared" si="1"/>
        <v>0</v>
      </c>
      <c r="I27" s="122">
        <f t="shared" si="1"/>
        <v>0</v>
      </c>
    </row>
    <row r="28" spans="1:19" hidden="1" x14ac:dyDescent="0.3">
      <c r="E28" s="122">
        <f t="shared" si="1"/>
        <v>0</v>
      </c>
      <c r="F28" s="122">
        <f t="shared" si="1"/>
        <v>0</v>
      </c>
      <c r="G28" s="122">
        <f t="shared" si="1"/>
        <v>0</v>
      </c>
      <c r="H28" s="122">
        <f t="shared" si="1"/>
        <v>0</v>
      </c>
      <c r="I28" s="122">
        <f t="shared" si="1"/>
        <v>0</v>
      </c>
    </row>
    <row r="29" spans="1:19" hidden="1" x14ac:dyDescent="0.3">
      <c r="E29" s="122">
        <f t="shared" si="1"/>
        <v>0</v>
      </c>
      <c r="F29" s="122">
        <f t="shared" si="1"/>
        <v>0</v>
      </c>
      <c r="G29" s="122">
        <f t="shared" si="1"/>
        <v>0</v>
      </c>
      <c r="H29" s="122">
        <f t="shared" si="1"/>
        <v>0</v>
      </c>
      <c r="I29" s="122">
        <f t="shared" si="1"/>
        <v>0</v>
      </c>
    </row>
    <row r="30" spans="1:19" hidden="1" x14ac:dyDescent="0.3">
      <c r="E30" s="122">
        <f t="shared" si="1"/>
        <v>0</v>
      </c>
      <c r="F30" s="122">
        <f t="shared" si="1"/>
        <v>0</v>
      </c>
      <c r="G30" s="122">
        <f t="shared" si="1"/>
        <v>0</v>
      </c>
      <c r="H30" s="122">
        <f t="shared" si="1"/>
        <v>0</v>
      </c>
      <c r="I30" s="122">
        <f t="shared" si="1"/>
        <v>0</v>
      </c>
    </row>
    <row r="31" spans="1:19" hidden="1" x14ac:dyDescent="0.3">
      <c r="E31" s="122">
        <f t="shared" si="1"/>
        <v>0</v>
      </c>
      <c r="F31" s="122">
        <f t="shared" si="1"/>
        <v>0</v>
      </c>
      <c r="G31" s="122">
        <f t="shared" si="1"/>
        <v>0</v>
      </c>
      <c r="H31" s="122">
        <f t="shared" si="1"/>
        <v>0</v>
      </c>
      <c r="I31" s="122">
        <f t="shared" si="1"/>
        <v>0</v>
      </c>
    </row>
    <row r="32" spans="1:19" hidden="1" x14ac:dyDescent="0.3">
      <c r="E32" s="418" t="s">
        <v>27</v>
      </c>
      <c r="F32" s="399"/>
      <c r="G32" s="399"/>
      <c r="H32" s="399"/>
      <c r="I32" s="399"/>
    </row>
    <row r="33" spans="1:9" hidden="1" x14ac:dyDescent="0.3">
      <c r="E33" s="122">
        <f t="shared" ref="E33:I43" si="2">IF($D4="Foreign",E21,0)</f>
        <v>0</v>
      </c>
      <c r="F33" s="122">
        <f t="shared" si="2"/>
        <v>0</v>
      </c>
      <c r="G33" s="122">
        <f t="shared" si="2"/>
        <v>0</v>
      </c>
      <c r="H33" s="122">
        <f t="shared" si="2"/>
        <v>0</v>
      </c>
      <c r="I33" s="122">
        <f t="shared" si="2"/>
        <v>0</v>
      </c>
    </row>
    <row r="34" spans="1:9" hidden="1" x14ac:dyDescent="0.3">
      <c r="E34" s="122">
        <f t="shared" si="2"/>
        <v>0</v>
      </c>
      <c r="F34" s="122">
        <f t="shared" si="2"/>
        <v>0</v>
      </c>
      <c r="G34" s="122">
        <f t="shared" si="2"/>
        <v>0</v>
      </c>
      <c r="H34" s="122">
        <f t="shared" si="2"/>
        <v>0</v>
      </c>
      <c r="I34" s="122">
        <f t="shared" si="2"/>
        <v>0</v>
      </c>
    </row>
    <row r="35" spans="1:9" hidden="1" x14ac:dyDescent="0.3">
      <c r="E35" s="122">
        <f t="shared" si="2"/>
        <v>0</v>
      </c>
      <c r="F35" s="122">
        <f t="shared" si="2"/>
        <v>0</v>
      </c>
      <c r="G35" s="122">
        <f t="shared" si="2"/>
        <v>0</v>
      </c>
      <c r="H35" s="122">
        <f t="shared" si="2"/>
        <v>0</v>
      </c>
      <c r="I35" s="122">
        <f t="shared" si="2"/>
        <v>0</v>
      </c>
    </row>
    <row r="36" spans="1:9" hidden="1" x14ac:dyDescent="0.3">
      <c r="E36" s="122">
        <f t="shared" si="2"/>
        <v>0</v>
      </c>
      <c r="F36" s="122">
        <f t="shared" si="2"/>
        <v>0</v>
      </c>
      <c r="G36" s="122">
        <f t="shared" si="2"/>
        <v>0</v>
      </c>
      <c r="H36" s="122">
        <f t="shared" si="2"/>
        <v>0</v>
      </c>
      <c r="I36" s="122">
        <f t="shared" si="2"/>
        <v>0</v>
      </c>
    </row>
    <row r="37" spans="1:9" hidden="1" x14ac:dyDescent="0.3">
      <c r="E37" s="122">
        <f t="shared" si="2"/>
        <v>0</v>
      </c>
      <c r="F37" s="122">
        <f t="shared" si="2"/>
        <v>0</v>
      </c>
      <c r="G37" s="122">
        <f t="shared" si="2"/>
        <v>0</v>
      </c>
      <c r="H37" s="122">
        <f t="shared" si="2"/>
        <v>0</v>
      </c>
      <c r="I37" s="122">
        <f t="shared" si="2"/>
        <v>0</v>
      </c>
    </row>
    <row r="38" spans="1:9" hidden="1" x14ac:dyDescent="0.3">
      <c r="A38" t="s">
        <v>24</v>
      </c>
      <c r="E38" s="122">
        <f t="shared" si="2"/>
        <v>0</v>
      </c>
      <c r="F38" s="122">
        <f t="shared" si="2"/>
        <v>0</v>
      </c>
      <c r="G38" s="122">
        <f t="shared" si="2"/>
        <v>0</v>
      </c>
      <c r="H38" s="122">
        <f t="shared" si="2"/>
        <v>0</v>
      </c>
      <c r="I38" s="122">
        <f t="shared" si="2"/>
        <v>0</v>
      </c>
    </row>
    <row r="39" spans="1:9" hidden="1" x14ac:dyDescent="0.3">
      <c r="A39" t="s">
        <v>23</v>
      </c>
      <c r="E39" s="122">
        <f t="shared" si="2"/>
        <v>0</v>
      </c>
      <c r="F39" s="122">
        <f t="shared" si="2"/>
        <v>0</v>
      </c>
      <c r="G39" s="122">
        <f t="shared" si="2"/>
        <v>0</v>
      </c>
      <c r="H39" s="122">
        <f t="shared" si="2"/>
        <v>0</v>
      </c>
      <c r="I39" s="122">
        <f t="shared" si="2"/>
        <v>0</v>
      </c>
    </row>
    <row r="40" spans="1:9" hidden="1" x14ac:dyDescent="0.3">
      <c r="A40" t="s">
        <v>25</v>
      </c>
      <c r="E40" s="122">
        <f t="shared" si="2"/>
        <v>0</v>
      </c>
      <c r="F40" s="122">
        <f t="shared" si="2"/>
        <v>0</v>
      </c>
      <c r="G40" s="122">
        <f t="shared" si="2"/>
        <v>0</v>
      </c>
      <c r="H40" s="122">
        <f t="shared" si="2"/>
        <v>0</v>
      </c>
      <c r="I40" s="122">
        <f t="shared" si="2"/>
        <v>0</v>
      </c>
    </row>
    <row r="41" spans="1:9" hidden="1" x14ac:dyDescent="0.3">
      <c r="E41" s="122">
        <f t="shared" si="2"/>
        <v>0</v>
      </c>
      <c r="F41" s="122">
        <f t="shared" si="2"/>
        <v>0</v>
      </c>
      <c r="G41" s="122">
        <f t="shared" si="2"/>
        <v>0</v>
      </c>
      <c r="H41" s="122">
        <f t="shared" si="2"/>
        <v>0</v>
      </c>
      <c r="I41" s="122">
        <f t="shared" si="2"/>
        <v>0</v>
      </c>
    </row>
    <row r="42" spans="1:9" hidden="1" x14ac:dyDescent="0.3">
      <c r="A42" t="s">
        <v>28</v>
      </c>
      <c r="E42" s="122">
        <f t="shared" si="2"/>
        <v>0</v>
      </c>
      <c r="F42" s="122">
        <f t="shared" si="2"/>
        <v>0</v>
      </c>
      <c r="G42" s="122">
        <f t="shared" si="2"/>
        <v>0</v>
      </c>
      <c r="H42" s="122">
        <f t="shared" si="2"/>
        <v>0</v>
      </c>
      <c r="I42" s="122">
        <f t="shared" si="2"/>
        <v>0</v>
      </c>
    </row>
    <row r="43" spans="1:9" hidden="1" x14ac:dyDescent="0.3">
      <c r="A43" t="s">
        <v>29</v>
      </c>
      <c r="E43" s="122">
        <f t="shared" si="2"/>
        <v>0</v>
      </c>
      <c r="F43" s="122">
        <f t="shared" si="2"/>
        <v>0</v>
      </c>
      <c r="G43" s="122">
        <f t="shared" si="2"/>
        <v>0</v>
      </c>
      <c r="H43" s="122">
        <f t="shared" si="2"/>
        <v>0</v>
      </c>
      <c r="I43" s="122">
        <f t="shared" si="2"/>
        <v>0</v>
      </c>
    </row>
    <row r="44" spans="1:9" hidden="1" x14ac:dyDescent="0.3">
      <c r="A44" t="s">
        <v>30</v>
      </c>
      <c r="E44" s="418" t="s">
        <v>31</v>
      </c>
      <c r="F44" s="399"/>
      <c r="G44" s="399"/>
      <c r="H44" s="399"/>
      <c r="I44" s="399"/>
    </row>
    <row r="45" spans="1:9" hidden="1" x14ac:dyDescent="0.3">
      <c r="A45" t="s">
        <v>32</v>
      </c>
      <c r="E45" s="122">
        <f t="shared" ref="E45:I55" si="3">IF($D4="Cost Share",E21,0)</f>
        <v>0</v>
      </c>
      <c r="F45" s="122">
        <f t="shared" si="3"/>
        <v>0</v>
      </c>
      <c r="G45" s="122">
        <f t="shared" si="3"/>
        <v>0</v>
      </c>
      <c r="H45" s="122">
        <f t="shared" si="3"/>
        <v>0</v>
      </c>
      <c r="I45" s="122">
        <f t="shared" si="3"/>
        <v>0</v>
      </c>
    </row>
    <row r="46" spans="1:9" hidden="1" x14ac:dyDescent="0.3">
      <c r="E46" s="122">
        <f t="shared" si="3"/>
        <v>0</v>
      </c>
      <c r="F46" s="122">
        <f t="shared" si="3"/>
        <v>0</v>
      </c>
      <c r="G46" s="122">
        <f t="shared" si="3"/>
        <v>0</v>
      </c>
      <c r="H46" s="122">
        <f t="shared" si="3"/>
        <v>0</v>
      </c>
      <c r="I46" s="122">
        <f t="shared" si="3"/>
        <v>0</v>
      </c>
    </row>
    <row r="47" spans="1:9" hidden="1" x14ac:dyDescent="0.3">
      <c r="A47" t="s">
        <v>33</v>
      </c>
      <c r="E47" s="122">
        <f t="shared" si="3"/>
        <v>0</v>
      </c>
      <c r="F47" s="122">
        <f t="shared" si="3"/>
        <v>0</v>
      </c>
      <c r="G47" s="122">
        <f t="shared" si="3"/>
        <v>0</v>
      </c>
      <c r="H47" s="122">
        <f t="shared" si="3"/>
        <v>0</v>
      </c>
      <c r="I47" s="122">
        <f t="shared" si="3"/>
        <v>0</v>
      </c>
    </row>
    <row r="48" spans="1:9" hidden="1" x14ac:dyDescent="0.3">
      <c r="A48" t="s">
        <v>34</v>
      </c>
      <c r="E48" s="122">
        <f t="shared" si="3"/>
        <v>0</v>
      </c>
      <c r="F48" s="122">
        <f t="shared" si="3"/>
        <v>0</v>
      </c>
      <c r="G48" s="122">
        <f t="shared" si="3"/>
        <v>0</v>
      </c>
      <c r="H48" s="122">
        <f t="shared" si="3"/>
        <v>0</v>
      </c>
      <c r="I48" s="122">
        <f t="shared" si="3"/>
        <v>0</v>
      </c>
    </row>
    <row r="49" spans="5:9" hidden="1" x14ac:dyDescent="0.3">
      <c r="E49" s="122">
        <f t="shared" si="3"/>
        <v>0</v>
      </c>
      <c r="F49" s="122">
        <f t="shared" si="3"/>
        <v>0</v>
      </c>
      <c r="G49" s="122">
        <f t="shared" si="3"/>
        <v>0</v>
      </c>
      <c r="H49" s="122">
        <f t="shared" si="3"/>
        <v>0</v>
      </c>
      <c r="I49" s="122">
        <f t="shared" si="3"/>
        <v>0</v>
      </c>
    </row>
    <row r="50" spans="5:9" hidden="1" x14ac:dyDescent="0.3">
      <c r="E50" s="122">
        <f t="shared" si="3"/>
        <v>0</v>
      </c>
      <c r="F50" s="122">
        <f t="shared" si="3"/>
        <v>0</v>
      </c>
      <c r="G50" s="122">
        <f t="shared" si="3"/>
        <v>0</v>
      </c>
      <c r="H50" s="122">
        <f t="shared" si="3"/>
        <v>0</v>
      </c>
      <c r="I50" s="122">
        <f t="shared" si="3"/>
        <v>0</v>
      </c>
    </row>
    <row r="51" spans="5:9" hidden="1" x14ac:dyDescent="0.3">
      <c r="E51" s="122">
        <f t="shared" si="3"/>
        <v>0</v>
      </c>
      <c r="F51" s="122">
        <f t="shared" si="3"/>
        <v>0</v>
      </c>
      <c r="G51" s="122">
        <f t="shared" si="3"/>
        <v>0</v>
      </c>
      <c r="H51" s="122">
        <f t="shared" si="3"/>
        <v>0</v>
      </c>
      <c r="I51" s="122">
        <f t="shared" si="3"/>
        <v>0</v>
      </c>
    </row>
    <row r="52" spans="5:9" hidden="1" x14ac:dyDescent="0.3">
      <c r="E52" s="122">
        <f t="shared" si="3"/>
        <v>0</v>
      </c>
      <c r="F52" s="122">
        <f t="shared" si="3"/>
        <v>0</v>
      </c>
      <c r="G52" s="122">
        <f t="shared" si="3"/>
        <v>0</v>
      </c>
      <c r="H52" s="122">
        <f t="shared" si="3"/>
        <v>0</v>
      </c>
      <c r="I52" s="122">
        <f t="shared" si="3"/>
        <v>0</v>
      </c>
    </row>
    <row r="53" spans="5:9" hidden="1" x14ac:dyDescent="0.3">
      <c r="E53" s="122">
        <f t="shared" si="3"/>
        <v>0</v>
      </c>
      <c r="F53" s="122">
        <f t="shared" si="3"/>
        <v>0</v>
      </c>
      <c r="G53" s="122">
        <f t="shared" si="3"/>
        <v>0</v>
      </c>
      <c r="H53" s="122">
        <f t="shared" si="3"/>
        <v>0</v>
      </c>
      <c r="I53" s="122">
        <f t="shared" si="3"/>
        <v>0</v>
      </c>
    </row>
    <row r="54" spans="5:9" hidden="1" x14ac:dyDescent="0.3">
      <c r="E54" s="122">
        <f t="shared" si="3"/>
        <v>0</v>
      </c>
      <c r="F54" s="122">
        <f t="shared" si="3"/>
        <v>0</v>
      </c>
      <c r="G54" s="122">
        <f t="shared" si="3"/>
        <v>0</v>
      </c>
      <c r="H54" s="122">
        <f t="shared" si="3"/>
        <v>0</v>
      </c>
      <c r="I54" s="122">
        <f t="shared" si="3"/>
        <v>0</v>
      </c>
    </row>
    <row r="55" spans="5:9" hidden="1" x14ac:dyDescent="0.3">
      <c r="E55" s="122">
        <f t="shared" si="3"/>
        <v>0</v>
      </c>
      <c r="F55" s="122">
        <f t="shared" si="3"/>
        <v>0</v>
      </c>
      <c r="G55" s="122">
        <f t="shared" si="3"/>
        <v>0</v>
      </c>
      <c r="H55" s="122">
        <f t="shared" si="3"/>
        <v>0</v>
      </c>
      <c r="I55" s="122">
        <f t="shared" si="3"/>
        <v>0</v>
      </c>
    </row>
    <row r="56" spans="5:9" hidden="1" x14ac:dyDescent="0.3"/>
  </sheetData>
  <sheetProtection algorithmName="SHA-512" hashValue="E3CIU2P0g650ZDJa/JlmERMp76CCut/btCHRbOS4mppBvevteOi2KJAJ28rifnBszqdpAVlF4AbFVMOk8KuTGg==" saltValue="TDquc/kYwvyEDYcE9tiF3Q==" spinCount="100000" sheet="1" objects="1" scenarios="1"/>
  <mergeCells count="3">
    <mergeCell ref="E20:I20"/>
    <mergeCell ref="E44:I44"/>
    <mergeCell ref="E32:I32"/>
  </mergeCells>
  <dataValidations count="4">
    <dataValidation type="list" allowBlank="1" showInputMessage="1" showErrorMessage="1" sqref="B8 B10:B14" xr:uid="{00000000-0002-0000-0700-000000000000}">
      <formula1>$A$42:$A$45</formula1>
    </dataValidation>
    <dataValidation type="list" allowBlank="1" showInputMessage="1" showErrorMessage="1" sqref="D4:D14" xr:uid="{00000000-0002-0000-0700-000001000000}">
      <formula1>$A$38:$A$40</formula1>
    </dataValidation>
    <dataValidation type="list" allowBlank="1" showInputMessage="1" showErrorMessage="1" sqref="B4:B7 B9" xr:uid="{00000000-0002-0000-0700-000002000000}">
      <formula1>$A$42:$A$46</formula1>
    </dataValidation>
    <dataValidation type="list" allowBlank="1" showInputMessage="1" showErrorMessage="1" sqref="C4:C14" xr:uid="{00000000-0002-0000-0700-000003000000}">
      <formula1>$A$47:$A$48</formula1>
    </dataValidation>
  </dataValidations>
  <hyperlinks>
    <hyperlink ref="B1" r:id="rId1" xr:uid="{00000000-0004-0000-0700-000000000000}"/>
    <hyperlink ref="B2" r:id="rId2" location="Sect52" xr:uid="{00000000-0004-0000-0700-000001000000}"/>
  </hyperlinks>
  <pageMargins left="0.7" right="0.7" top="0.75" bottom="0.75" header="0.3" footer="0.3"/>
  <pageSetup scale="44" orientation="landscape"/>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6"/>
  <sheetViews>
    <sheetView zoomScale="120" zoomScaleNormal="120" workbookViewId="0">
      <selection activeCell="D3" sqref="D3"/>
    </sheetView>
  </sheetViews>
  <sheetFormatPr defaultColWidth="8.6640625" defaultRowHeight="14.4" x14ac:dyDescent="0.3"/>
  <cols>
    <col min="1" max="1" width="25.44140625" customWidth="1"/>
    <col min="2" max="9" width="12.44140625" customWidth="1"/>
    <col min="10" max="10" width="35.44140625" customWidth="1"/>
    <col min="11" max="13" width="13" hidden="1" customWidth="1"/>
  </cols>
  <sheetData>
    <row r="1" spans="1:13" x14ac:dyDescent="0.3">
      <c r="A1" s="326"/>
    </row>
    <row r="2" spans="1:13" ht="46.95" customHeight="1" x14ac:dyDescent="0.3">
      <c r="A2" s="5" t="s">
        <v>168</v>
      </c>
      <c r="B2" s="6" t="s">
        <v>169</v>
      </c>
      <c r="C2" s="6" t="s">
        <v>170</v>
      </c>
      <c r="D2" s="6" t="s">
        <v>171</v>
      </c>
      <c r="E2" s="6" t="s">
        <v>172</v>
      </c>
      <c r="F2" s="6" t="s">
        <v>173</v>
      </c>
      <c r="G2" s="6" t="s">
        <v>174</v>
      </c>
      <c r="H2" s="6" t="s">
        <v>175</v>
      </c>
      <c r="I2" s="6" t="s">
        <v>20</v>
      </c>
      <c r="J2" s="5" t="s">
        <v>21</v>
      </c>
      <c r="K2" s="12" t="s">
        <v>176</v>
      </c>
      <c r="L2" s="12">
        <v>1</v>
      </c>
      <c r="M2" s="3" t="s">
        <v>177</v>
      </c>
    </row>
    <row r="3" spans="1:13" ht="15.6" customHeight="1" x14ac:dyDescent="0.3">
      <c r="A3" s="140"/>
      <c r="B3" s="139"/>
      <c r="C3" s="58"/>
      <c r="D3" s="141">
        <v>0</v>
      </c>
      <c r="E3" s="141">
        <v>0</v>
      </c>
      <c r="F3" s="141">
        <v>0</v>
      </c>
      <c r="G3" s="141">
        <v>0</v>
      </c>
      <c r="H3" s="141">
        <v>0</v>
      </c>
      <c r="I3" s="1">
        <f t="shared" ref="I3:I13" si="0">ROUND(B3*(D3+E3+F3+G3+H3),0)</f>
        <v>0</v>
      </c>
      <c r="J3" s="345"/>
      <c r="K3" s="12" t="s">
        <v>178</v>
      </c>
      <c r="L3" s="12">
        <v>2</v>
      </c>
      <c r="M3" s="3" t="s">
        <v>179</v>
      </c>
    </row>
    <row r="4" spans="1:13" ht="15.6" customHeight="1" x14ac:dyDescent="0.3">
      <c r="A4" s="140"/>
      <c r="B4" s="139"/>
      <c r="C4" s="58"/>
      <c r="D4" s="141">
        <v>0</v>
      </c>
      <c r="E4" s="141">
        <v>0</v>
      </c>
      <c r="F4" s="141">
        <v>0</v>
      </c>
      <c r="G4" s="141">
        <v>0</v>
      </c>
      <c r="H4" s="141">
        <v>0</v>
      </c>
      <c r="I4" s="1">
        <f t="shared" si="0"/>
        <v>0</v>
      </c>
      <c r="J4" s="345"/>
      <c r="K4" s="12" t="s">
        <v>180</v>
      </c>
      <c r="L4" s="12">
        <v>3</v>
      </c>
      <c r="M4" s="3" t="s">
        <v>181</v>
      </c>
    </row>
    <row r="5" spans="1:13" ht="15.6" customHeight="1" x14ac:dyDescent="0.3">
      <c r="A5" s="140"/>
      <c r="B5" s="139"/>
      <c r="C5" s="58"/>
      <c r="D5" s="141">
        <v>0</v>
      </c>
      <c r="E5" s="141">
        <v>0</v>
      </c>
      <c r="F5" s="141">
        <v>0</v>
      </c>
      <c r="G5" s="141">
        <v>0</v>
      </c>
      <c r="H5" s="141">
        <v>0</v>
      </c>
      <c r="I5" s="1">
        <f t="shared" si="0"/>
        <v>0</v>
      </c>
      <c r="J5" s="345"/>
      <c r="L5" s="12">
        <v>4</v>
      </c>
      <c r="M5" s="3" t="s">
        <v>182</v>
      </c>
    </row>
    <row r="6" spans="1:13" ht="15.6" customHeight="1" x14ac:dyDescent="0.3">
      <c r="A6" s="140"/>
      <c r="B6" s="139"/>
      <c r="C6" s="58"/>
      <c r="D6" s="141">
        <v>0</v>
      </c>
      <c r="E6" s="141">
        <v>0</v>
      </c>
      <c r="F6" s="141">
        <v>0</v>
      </c>
      <c r="G6" s="141">
        <v>0</v>
      </c>
      <c r="H6" s="141">
        <v>0</v>
      </c>
      <c r="I6" s="1">
        <f t="shared" si="0"/>
        <v>0</v>
      </c>
      <c r="J6" s="345"/>
      <c r="L6" s="12">
        <v>5</v>
      </c>
      <c r="M6" s="3"/>
    </row>
    <row r="7" spans="1:13" ht="15.6" customHeight="1" x14ac:dyDescent="0.3">
      <c r="A7" s="140"/>
      <c r="B7" s="139"/>
      <c r="C7" s="58"/>
      <c r="D7" s="141"/>
      <c r="E7" s="141">
        <v>0</v>
      </c>
      <c r="F7" s="141">
        <v>0</v>
      </c>
      <c r="G7" s="141">
        <v>0</v>
      </c>
      <c r="H7" s="141">
        <v>0</v>
      </c>
      <c r="I7" s="1">
        <f t="shared" si="0"/>
        <v>0</v>
      </c>
      <c r="J7" s="345"/>
      <c r="L7" s="12" t="s">
        <v>183</v>
      </c>
      <c r="M7" s="3"/>
    </row>
    <row r="8" spans="1:13" x14ac:dyDescent="0.3">
      <c r="A8" s="140"/>
      <c r="B8" s="139"/>
      <c r="C8" s="58"/>
      <c r="D8" s="141"/>
      <c r="E8" s="141">
        <v>0</v>
      </c>
      <c r="F8" s="141">
        <v>0</v>
      </c>
      <c r="G8" s="141">
        <v>0</v>
      </c>
      <c r="H8" s="141">
        <v>0</v>
      </c>
      <c r="I8" s="1">
        <f t="shared" si="0"/>
        <v>0</v>
      </c>
      <c r="J8" s="345"/>
    </row>
    <row r="9" spans="1:13" x14ac:dyDescent="0.3">
      <c r="A9" s="140"/>
      <c r="B9" s="139"/>
      <c r="C9" s="58"/>
      <c r="D9" s="141"/>
      <c r="E9" s="141">
        <v>0</v>
      </c>
      <c r="F9" s="141">
        <v>0</v>
      </c>
      <c r="G9" s="141">
        <v>0</v>
      </c>
      <c r="H9" s="141">
        <v>0</v>
      </c>
      <c r="I9" s="1">
        <f t="shared" si="0"/>
        <v>0</v>
      </c>
      <c r="J9" s="345"/>
    </row>
    <row r="10" spans="1:13" ht="15.6" customHeight="1" x14ac:dyDescent="0.3">
      <c r="A10" s="140"/>
      <c r="B10" s="139"/>
      <c r="C10" s="58"/>
      <c r="D10" s="141"/>
      <c r="E10" s="141">
        <v>0</v>
      </c>
      <c r="F10" s="141">
        <v>0</v>
      </c>
      <c r="G10" s="141">
        <v>0</v>
      </c>
      <c r="H10" s="141">
        <v>0</v>
      </c>
      <c r="I10" s="1">
        <f t="shared" si="0"/>
        <v>0</v>
      </c>
      <c r="J10" s="345"/>
      <c r="M10" s="3"/>
    </row>
    <row r="11" spans="1:13" ht="15.6" customHeight="1" x14ac:dyDescent="0.3">
      <c r="A11" s="140"/>
      <c r="B11" s="139"/>
      <c r="C11" s="58"/>
      <c r="D11" s="141"/>
      <c r="E11" s="141"/>
      <c r="F11" s="141"/>
      <c r="G11" s="141"/>
      <c r="H11" s="141"/>
      <c r="I11" s="1">
        <f t="shared" si="0"/>
        <v>0</v>
      </c>
      <c r="J11" s="345"/>
      <c r="M11" s="3"/>
    </row>
    <row r="12" spans="1:13" x14ac:dyDescent="0.3">
      <c r="A12" s="140"/>
      <c r="B12" s="139"/>
      <c r="C12" s="58"/>
      <c r="D12" s="141"/>
      <c r="E12" s="141"/>
      <c r="F12" s="141"/>
      <c r="G12" s="141"/>
      <c r="H12" s="141"/>
      <c r="I12" s="1">
        <f t="shared" si="0"/>
        <v>0</v>
      </c>
      <c r="J12" s="345"/>
    </row>
    <row r="13" spans="1:13" ht="15.6" customHeight="1" x14ac:dyDescent="0.3">
      <c r="A13" s="140"/>
      <c r="B13" s="139"/>
      <c r="C13" s="58"/>
      <c r="D13" s="141"/>
      <c r="E13" s="141"/>
      <c r="F13" s="141"/>
      <c r="G13" s="141"/>
      <c r="H13" s="141"/>
      <c r="I13" s="1">
        <f t="shared" si="0"/>
        <v>0</v>
      </c>
      <c r="J13" s="345"/>
      <c r="M13" s="3"/>
    </row>
    <row r="14" spans="1:13" s="10" customFormat="1" ht="15.6" customHeight="1" x14ac:dyDescent="0.3">
      <c r="B14" s="4"/>
      <c r="C14" s="4"/>
      <c r="D14" s="4"/>
      <c r="E14" s="4"/>
      <c r="F14" s="4"/>
      <c r="G14" s="4"/>
      <c r="H14" s="4"/>
      <c r="K14" s="322"/>
      <c r="L14" s="322"/>
      <c r="M14" s="322"/>
    </row>
    <row r="15" spans="1:13" ht="15.6" hidden="1" customHeight="1" x14ac:dyDescent="0.3">
      <c r="A15" s="7"/>
      <c r="C15" s="11"/>
      <c r="D15" s="117">
        <f t="shared" ref="D15:H25" si="1">IF(D3&gt;0,(D3*$B3),0)</f>
        <v>0</v>
      </c>
      <c r="E15" s="117">
        <f t="shared" si="1"/>
        <v>0</v>
      </c>
      <c r="F15" s="117">
        <f t="shared" si="1"/>
        <v>0</v>
      </c>
      <c r="G15" s="117">
        <f t="shared" si="1"/>
        <v>0</v>
      </c>
      <c r="H15" s="117">
        <f t="shared" si="1"/>
        <v>0</v>
      </c>
      <c r="I15" s="44"/>
      <c r="J15" s="322"/>
    </row>
    <row r="16" spans="1:13" hidden="1" x14ac:dyDescent="0.3">
      <c r="D16" s="117">
        <f t="shared" si="1"/>
        <v>0</v>
      </c>
      <c r="E16" s="117">
        <f t="shared" si="1"/>
        <v>0</v>
      </c>
      <c r="F16" s="117">
        <f t="shared" si="1"/>
        <v>0</v>
      </c>
      <c r="G16" s="117">
        <f t="shared" si="1"/>
        <v>0</v>
      </c>
      <c r="H16" s="117">
        <f t="shared" si="1"/>
        <v>0</v>
      </c>
      <c r="I16" s="44"/>
    </row>
    <row r="17" spans="2:9" hidden="1" x14ac:dyDescent="0.3">
      <c r="D17" s="117">
        <f t="shared" si="1"/>
        <v>0</v>
      </c>
      <c r="E17" s="117">
        <f t="shared" si="1"/>
        <v>0</v>
      </c>
      <c r="F17" s="117">
        <f t="shared" si="1"/>
        <v>0</v>
      </c>
      <c r="G17" s="117">
        <f t="shared" si="1"/>
        <v>0</v>
      </c>
      <c r="H17" s="117">
        <f t="shared" si="1"/>
        <v>0</v>
      </c>
      <c r="I17" s="44"/>
    </row>
    <row r="18" spans="2:9" hidden="1" x14ac:dyDescent="0.3">
      <c r="D18" s="117">
        <f t="shared" si="1"/>
        <v>0</v>
      </c>
      <c r="E18" s="117">
        <f t="shared" si="1"/>
        <v>0</v>
      </c>
      <c r="F18" s="117">
        <f t="shared" si="1"/>
        <v>0</v>
      </c>
      <c r="G18" s="117">
        <f t="shared" si="1"/>
        <v>0</v>
      </c>
      <c r="H18" s="117">
        <f t="shared" si="1"/>
        <v>0</v>
      </c>
      <c r="I18" s="44"/>
    </row>
    <row r="19" spans="2:9" hidden="1" x14ac:dyDescent="0.3">
      <c r="D19" s="117">
        <f t="shared" si="1"/>
        <v>0</v>
      </c>
      <c r="E19" s="117">
        <f t="shared" si="1"/>
        <v>0</v>
      </c>
      <c r="F19" s="117">
        <f t="shared" si="1"/>
        <v>0</v>
      </c>
      <c r="G19" s="117">
        <f t="shared" si="1"/>
        <v>0</v>
      </c>
      <c r="H19" s="117">
        <f t="shared" si="1"/>
        <v>0</v>
      </c>
      <c r="I19" s="44"/>
    </row>
    <row r="20" spans="2:9" hidden="1" x14ac:dyDescent="0.3">
      <c r="D20" s="117">
        <f t="shared" si="1"/>
        <v>0</v>
      </c>
      <c r="E20" s="117">
        <f t="shared" si="1"/>
        <v>0</v>
      </c>
      <c r="F20" s="117">
        <f t="shared" si="1"/>
        <v>0</v>
      </c>
      <c r="G20" s="117">
        <f t="shared" si="1"/>
        <v>0</v>
      </c>
      <c r="H20" s="117">
        <f t="shared" si="1"/>
        <v>0</v>
      </c>
      <c r="I20" s="44"/>
    </row>
    <row r="21" spans="2:9" hidden="1" x14ac:dyDescent="0.3">
      <c r="D21" s="117">
        <f t="shared" si="1"/>
        <v>0</v>
      </c>
      <c r="E21" s="117">
        <f t="shared" si="1"/>
        <v>0</v>
      </c>
      <c r="F21" s="117">
        <f t="shared" si="1"/>
        <v>0</v>
      </c>
      <c r="G21" s="117">
        <f t="shared" si="1"/>
        <v>0</v>
      </c>
      <c r="H21" s="117">
        <f t="shared" si="1"/>
        <v>0</v>
      </c>
      <c r="I21" s="44"/>
    </row>
    <row r="22" spans="2:9" hidden="1" x14ac:dyDescent="0.3">
      <c r="D22" s="117">
        <f t="shared" si="1"/>
        <v>0</v>
      </c>
      <c r="E22" s="117">
        <f t="shared" si="1"/>
        <v>0</v>
      </c>
      <c r="F22" s="117">
        <f t="shared" si="1"/>
        <v>0</v>
      </c>
      <c r="G22" s="117">
        <f t="shared" si="1"/>
        <v>0</v>
      </c>
      <c r="H22" s="117">
        <f t="shared" si="1"/>
        <v>0</v>
      </c>
      <c r="I22" s="44"/>
    </row>
    <row r="23" spans="2:9" hidden="1" x14ac:dyDescent="0.3">
      <c r="D23" s="117">
        <f t="shared" si="1"/>
        <v>0</v>
      </c>
      <c r="E23" s="117">
        <f t="shared" si="1"/>
        <v>0</v>
      </c>
      <c r="F23" s="117">
        <f t="shared" si="1"/>
        <v>0</v>
      </c>
      <c r="G23" s="117">
        <f t="shared" si="1"/>
        <v>0</v>
      </c>
      <c r="H23" s="117">
        <f t="shared" si="1"/>
        <v>0</v>
      </c>
      <c r="I23" s="44"/>
    </row>
    <row r="24" spans="2:9" hidden="1" x14ac:dyDescent="0.3">
      <c r="D24" s="117">
        <f t="shared" si="1"/>
        <v>0</v>
      </c>
      <c r="E24" s="117">
        <f t="shared" si="1"/>
        <v>0</v>
      </c>
      <c r="F24" s="117">
        <f t="shared" si="1"/>
        <v>0</v>
      </c>
      <c r="G24" s="117">
        <f t="shared" si="1"/>
        <v>0</v>
      </c>
      <c r="H24" s="117">
        <f t="shared" si="1"/>
        <v>0</v>
      </c>
      <c r="I24" s="44"/>
    </row>
    <row r="25" spans="2:9" hidden="1" x14ac:dyDescent="0.3">
      <c r="D25" s="117">
        <f t="shared" si="1"/>
        <v>0</v>
      </c>
      <c r="E25" s="117">
        <f t="shared" si="1"/>
        <v>0</v>
      </c>
      <c r="F25" s="117">
        <f t="shared" si="1"/>
        <v>0</v>
      </c>
      <c r="G25" s="117">
        <f t="shared" si="1"/>
        <v>0</v>
      </c>
      <c r="H25" s="117">
        <f t="shared" si="1"/>
        <v>0</v>
      </c>
      <c r="I25" s="44"/>
    </row>
    <row r="26" spans="2:9" ht="15.6" customHeight="1" x14ac:dyDescent="0.3">
      <c r="B26" s="7" t="s">
        <v>22</v>
      </c>
      <c r="D26" s="116">
        <f>ROUND(SUM(D15:D25),0)</f>
        <v>0</v>
      </c>
      <c r="E26" s="116">
        <f>ROUND(SUM(E15:E25),0)</f>
        <v>0</v>
      </c>
      <c r="F26" s="116">
        <f>ROUND(SUM(F15:F25),0)</f>
        <v>0</v>
      </c>
      <c r="G26" s="116">
        <f>ROUND(SUM(G15:G25),0)</f>
        <v>0</v>
      </c>
      <c r="H26" s="116">
        <f>ROUND(SUM(H15:H25),0)</f>
        <v>0</v>
      </c>
      <c r="I26" s="116">
        <f>ROUND(SUM(D26:H26),0)</f>
        <v>0</v>
      </c>
    </row>
    <row r="28" spans="2:9" hidden="1" x14ac:dyDescent="0.3"/>
    <row r="29" spans="2:9" hidden="1" x14ac:dyDescent="0.3">
      <c r="D29" s="117">
        <f t="shared" ref="D29:H39" si="2">IF($C3="Cost Share",D15,0)</f>
        <v>0</v>
      </c>
      <c r="E29" s="117">
        <f t="shared" si="2"/>
        <v>0</v>
      </c>
      <c r="F29" s="117">
        <f t="shared" si="2"/>
        <v>0</v>
      </c>
      <c r="G29" s="117">
        <f t="shared" si="2"/>
        <v>0</v>
      </c>
      <c r="H29" s="117">
        <f t="shared" si="2"/>
        <v>0</v>
      </c>
      <c r="I29" s="44"/>
    </row>
    <row r="30" spans="2:9" hidden="1" x14ac:dyDescent="0.3">
      <c r="D30" s="117">
        <f t="shared" si="2"/>
        <v>0</v>
      </c>
      <c r="E30" s="117">
        <f t="shared" si="2"/>
        <v>0</v>
      </c>
      <c r="F30" s="117">
        <f t="shared" si="2"/>
        <v>0</v>
      </c>
      <c r="G30" s="117">
        <f t="shared" si="2"/>
        <v>0</v>
      </c>
      <c r="H30" s="117">
        <f t="shared" si="2"/>
        <v>0</v>
      </c>
      <c r="I30" s="44"/>
    </row>
    <row r="31" spans="2:9" hidden="1" x14ac:dyDescent="0.3">
      <c r="D31" s="117">
        <f t="shared" si="2"/>
        <v>0</v>
      </c>
      <c r="E31" s="117">
        <f t="shared" si="2"/>
        <v>0</v>
      </c>
      <c r="F31" s="117">
        <f t="shared" si="2"/>
        <v>0</v>
      </c>
      <c r="G31" s="117">
        <f t="shared" si="2"/>
        <v>0</v>
      </c>
      <c r="H31" s="117">
        <f t="shared" si="2"/>
        <v>0</v>
      </c>
      <c r="I31" s="44"/>
    </row>
    <row r="32" spans="2:9" hidden="1" x14ac:dyDescent="0.3">
      <c r="D32" s="117">
        <f t="shared" si="2"/>
        <v>0</v>
      </c>
      <c r="E32" s="117">
        <f t="shared" si="2"/>
        <v>0</v>
      </c>
      <c r="F32" s="117">
        <f t="shared" si="2"/>
        <v>0</v>
      </c>
      <c r="G32" s="117">
        <f t="shared" si="2"/>
        <v>0</v>
      </c>
      <c r="H32" s="117">
        <f t="shared" si="2"/>
        <v>0</v>
      </c>
      <c r="I32" s="44"/>
    </row>
    <row r="33" spans="1:9" hidden="1" x14ac:dyDescent="0.3">
      <c r="D33" s="117">
        <f t="shared" si="2"/>
        <v>0</v>
      </c>
      <c r="E33" s="117">
        <f t="shared" si="2"/>
        <v>0</v>
      </c>
      <c r="F33" s="117">
        <f t="shared" si="2"/>
        <v>0</v>
      </c>
      <c r="G33" s="117">
        <f t="shared" si="2"/>
        <v>0</v>
      </c>
      <c r="H33" s="117">
        <f t="shared" si="2"/>
        <v>0</v>
      </c>
      <c r="I33" s="44"/>
    </row>
    <row r="34" spans="1:9" hidden="1" x14ac:dyDescent="0.3">
      <c r="D34" s="117">
        <f t="shared" si="2"/>
        <v>0</v>
      </c>
      <c r="E34" s="117">
        <f t="shared" si="2"/>
        <v>0</v>
      </c>
      <c r="F34" s="117">
        <f t="shared" si="2"/>
        <v>0</v>
      </c>
      <c r="G34" s="117">
        <f t="shared" si="2"/>
        <v>0</v>
      </c>
      <c r="H34" s="117">
        <f t="shared" si="2"/>
        <v>0</v>
      </c>
      <c r="I34" s="44"/>
    </row>
    <row r="35" spans="1:9" hidden="1" x14ac:dyDescent="0.3">
      <c r="D35" s="117">
        <f t="shared" si="2"/>
        <v>0</v>
      </c>
      <c r="E35" s="117">
        <f t="shared" si="2"/>
        <v>0</v>
      </c>
      <c r="F35" s="117">
        <f t="shared" si="2"/>
        <v>0</v>
      </c>
      <c r="G35" s="117">
        <f t="shared" si="2"/>
        <v>0</v>
      </c>
      <c r="H35" s="117">
        <f t="shared" si="2"/>
        <v>0</v>
      </c>
      <c r="I35" s="44"/>
    </row>
    <row r="36" spans="1:9" hidden="1" x14ac:dyDescent="0.3">
      <c r="D36" s="117">
        <f t="shared" si="2"/>
        <v>0</v>
      </c>
      <c r="E36" s="117">
        <f t="shared" si="2"/>
        <v>0</v>
      </c>
      <c r="F36" s="117">
        <f t="shared" si="2"/>
        <v>0</v>
      </c>
      <c r="G36" s="117">
        <f t="shared" si="2"/>
        <v>0</v>
      </c>
      <c r="H36" s="117">
        <f t="shared" si="2"/>
        <v>0</v>
      </c>
      <c r="I36" s="44"/>
    </row>
    <row r="37" spans="1:9" hidden="1" x14ac:dyDescent="0.3">
      <c r="D37" s="117">
        <f t="shared" si="2"/>
        <v>0</v>
      </c>
      <c r="E37" s="117">
        <f t="shared" si="2"/>
        <v>0</v>
      </c>
      <c r="F37" s="117">
        <f t="shared" si="2"/>
        <v>0</v>
      </c>
      <c r="G37" s="117">
        <f t="shared" si="2"/>
        <v>0</v>
      </c>
      <c r="H37" s="117">
        <f t="shared" si="2"/>
        <v>0</v>
      </c>
      <c r="I37" s="44"/>
    </row>
    <row r="38" spans="1:9" hidden="1" x14ac:dyDescent="0.3">
      <c r="D38" s="117">
        <f t="shared" si="2"/>
        <v>0</v>
      </c>
      <c r="E38" s="117">
        <f t="shared" si="2"/>
        <v>0</v>
      </c>
      <c r="F38" s="117">
        <f t="shared" si="2"/>
        <v>0</v>
      </c>
      <c r="G38" s="117">
        <f t="shared" si="2"/>
        <v>0</v>
      </c>
      <c r="H38" s="117">
        <f t="shared" si="2"/>
        <v>0</v>
      </c>
      <c r="I38" s="44"/>
    </row>
    <row r="39" spans="1:9" hidden="1" x14ac:dyDescent="0.3">
      <c r="D39" s="117">
        <f t="shared" si="2"/>
        <v>0</v>
      </c>
      <c r="E39" s="117">
        <f t="shared" si="2"/>
        <v>0</v>
      </c>
      <c r="F39" s="117">
        <f t="shared" si="2"/>
        <v>0</v>
      </c>
      <c r="G39" s="117">
        <f t="shared" si="2"/>
        <v>0</v>
      </c>
      <c r="H39" s="117">
        <f t="shared" si="2"/>
        <v>0</v>
      </c>
      <c r="I39" s="44"/>
    </row>
    <row r="40" spans="1:9" ht="15.6" customHeight="1" x14ac:dyDescent="0.3">
      <c r="B40" s="7" t="s">
        <v>184</v>
      </c>
      <c r="D40" s="116">
        <f>ROUND(SUM(D29:D39),0)</f>
        <v>0</v>
      </c>
      <c r="E40" s="116">
        <f>ROUND(SUM(E29:E39),0)</f>
        <v>0</v>
      </c>
      <c r="F40" s="116">
        <f>ROUND(SUM(F29:F39),0)</f>
        <v>0</v>
      </c>
      <c r="G40" s="116">
        <f>ROUND(SUM(G29:G39),0)</f>
        <v>0</v>
      </c>
      <c r="H40" s="116">
        <f>ROUND(SUM(H29:H39),0)</f>
        <v>0</v>
      </c>
      <c r="I40" s="116">
        <f>ROUND(SUM(D40:H40),0)</f>
        <v>0</v>
      </c>
    </row>
    <row r="43" spans="1:9" hidden="1" x14ac:dyDescent="0.3">
      <c r="A43" t="s">
        <v>178</v>
      </c>
    </row>
    <row r="44" spans="1:9" hidden="1" x14ac:dyDescent="0.3">
      <c r="A44" t="s">
        <v>176</v>
      </c>
    </row>
    <row r="45" spans="1:9" hidden="1" x14ac:dyDescent="0.3">
      <c r="A45" t="s">
        <v>180</v>
      </c>
    </row>
    <row r="46" spans="1:9" hidden="1" x14ac:dyDescent="0.3">
      <c r="A46" t="s">
        <v>25</v>
      </c>
    </row>
  </sheetData>
  <sheetProtection algorithmName="SHA-512" hashValue="V+HloXo9kOFUbq7ynM4AtMKJEUhhZAULaLbTTsespoNZ6REwEZj2tvhvbChV/zpS/VFX09/FR5rXLKqFGr554g==" saltValue="b0bJKHV8WgC+3uW6h3Mk0A==" spinCount="100000" sheet="1" objects="1" scenarios="1"/>
  <dataValidations count="1">
    <dataValidation type="list" allowBlank="1" showInputMessage="1" showErrorMessage="1" sqref="C3:C13" xr:uid="{00000000-0002-0000-0800-000000000000}">
      <formula1>$A$43:$A$46</formula1>
    </dataValidation>
  </dataValidations>
  <pageMargins left="0.7" right="0.7" top="0.75" bottom="0.75" header="0.3" footer="0.3"/>
  <pageSetup orientation="portrait" horizontalDpi="1200" verticalDpi="12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52"/>
  <sheetViews>
    <sheetView zoomScale="120" zoomScaleNormal="120" workbookViewId="0">
      <selection activeCell="D4" sqref="D4"/>
    </sheetView>
  </sheetViews>
  <sheetFormatPr defaultColWidth="8.6640625" defaultRowHeight="14.4" x14ac:dyDescent="0.3"/>
  <cols>
    <col min="1" max="1" width="25.44140625" customWidth="1"/>
    <col min="2" max="9" width="12.44140625" customWidth="1"/>
    <col min="10" max="10" width="35.44140625" customWidth="1"/>
    <col min="11" max="13" width="13" hidden="1" customWidth="1"/>
  </cols>
  <sheetData>
    <row r="1" spans="1:13" x14ac:dyDescent="0.3">
      <c r="A1" s="326"/>
    </row>
    <row r="2" spans="1:13" ht="46.95" customHeight="1" x14ac:dyDescent="0.3">
      <c r="A2" s="5" t="s">
        <v>168</v>
      </c>
      <c r="B2" s="184" t="s">
        <v>169</v>
      </c>
      <c r="C2" s="6" t="s">
        <v>170</v>
      </c>
      <c r="D2" s="6" t="s">
        <v>171</v>
      </c>
      <c r="E2" s="6" t="s">
        <v>172</v>
      </c>
      <c r="F2" s="6" t="s">
        <v>173</v>
      </c>
      <c r="G2" s="6" t="s">
        <v>174</v>
      </c>
      <c r="H2" s="6" t="s">
        <v>175</v>
      </c>
      <c r="I2" s="6" t="s">
        <v>20</v>
      </c>
      <c r="J2" s="5" t="s">
        <v>21</v>
      </c>
      <c r="K2" s="12" t="s">
        <v>176</v>
      </c>
      <c r="L2" s="12">
        <v>1</v>
      </c>
      <c r="M2" s="3" t="s">
        <v>177</v>
      </c>
    </row>
    <row r="3" spans="1:13" ht="15.6" customHeight="1" x14ac:dyDescent="0.3">
      <c r="A3" s="351"/>
      <c r="B3" s="142">
        <v>0</v>
      </c>
      <c r="C3" s="58" t="s">
        <v>178</v>
      </c>
      <c r="D3" s="141">
        <v>0</v>
      </c>
      <c r="E3" s="141">
        <v>0</v>
      </c>
      <c r="F3" s="141">
        <v>0</v>
      </c>
      <c r="G3" s="141">
        <v>0</v>
      </c>
      <c r="H3" s="141">
        <v>0</v>
      </c>
      <c r="I3" s="197">
        <f t="shared" ref="I3:I13" si="0">ROUND(B3*(D3+E3+F3+G3+H3),0)</f>
        <v>0</v>
      </c>
      <c r="J3" s="345"/>
      <c r="K3" s="12" t="s">
        <v>178</v>
      </c>
      <c r="L3" s="12">
        <v>2</v>
      </c>
      <c r="M3" s="3" t="s">
        <v>179</v>
      </c>
    </row>
    <row r="4" spans="1:13" ht="15.6" customHeight="1" x14ac:dyDescent="0.3">
      <c r="A4" s="351"/>
      <c r="B4" s="142">
        <v>0</v>
      </c>
      <c r="C4" s="58"/>
      <c r="D4" s="141">
        <v>0</v>
      </c>
      <c r="E4" s="141">
        <v>0</v>
      </c>
      <c r="F4" s="141">
        <v>0</v>
      </c>
      <c r="G4" s="141">
        <v>0</v>
      </c>
      <c r="H4" s="141">
        <v>0</v>
      </c>
      <c r="I4" s="197">
        <f t="shared" si="0"/>
        <v>0</v>
      </c>
      <c r="J4" s="345"/>
      <c r="K4" s="12" t="s">
        <v>180</v>
      </c>
      <c r="L4" s="12">
        <v>3</v>
      </c>
      <c r="M4" s="3" t="s">
        <v>181</v>
      </c>
    </row>
    <row r="5" spans="1:13" ht="15.6" customHeight="1" x14ac:dyDescent="0.3">
      <c r="A5" s="351"/>
      <c r="B5" s="142">
        <v>0</v>
      </c>
      <c r="C5" s="58"/>
      <c r="D5" s="141">
        <v>0</v>
      </c>
      <c r="E5" s="141">
        <v>0</v>
      </c>
      <c r="F5" s="141">
        <v>0</v>
      </c>
      <c r="G5" s="141">
        <v>0</v>
      </c>
      <c r="H5" s="141">
        <v>0</v>
      </c>
      <c r="I5" s="197">
        <f t="shared" si="0"/>
        <v>0</v>
      </c>
      <c r="J5" s="345"/>
      <c r="L5" s="12">
        <v>4</v>
      </c>
      <c r="M5" s="3" t="s">
        <v>182</v>
      </c>
    </row>
    <row r="6" spans="1:13" ht="15.6" customHeight="1" x14ac:dyDescent="0.3">
      <c r="A6" s="140"/>
      <c r="B6" s="142">
        <v>0</v>
      </c>
      <c r="C6" s="58"/>
      <c r="D6" s="141">
        <v>0</v>
      </c>
      <c r="E6" s="141">
        <v>0</v>
      </c>
      <c r="F6" s="141">
        <v>0</v>
      </c>
      <c r="G6" s="141">
        <v>0</v>
      </c>
      <c r="H6" s="141">
        <v>0</v>
      </c>
      <c r="I6" s="197">
        <f t="shared" si="0"/>
        <v>0</v>
      </c>
      <c r="J6" s="345"/>
      <c r="L6" s="12">
        <v>5</v>
      </c>
      <c r="M6" s="3"/>
    </row>
    <row r="7" spans="1:13" ht="15.6" customHeight="1" x14ac:dyDescent="0.3">
      <c r="A7" s="140"/>
      <c r="B7" s="142">
        <v>0</v>
      </c>
      <c r="C7" s="58"/>
      <c r="D7" s="141">
        <v>0</v>
      </c>
      <c r="E7" s="141">
        <v>0</v>
      </c>
      <c r="F7" s="141">
        <v>0</v>
      </c>
      <c r="G7" s="141">
        <v>0</v>
      </c>
      <c r="H7" s="141">
        <v>0</v>
      </c>
      <c r="I7" s="197">
        <f t="shared" si="0"/>
        <v>0</v>
      </c>
      <c r="J7" s="345"/>
      <c r="L7" s="12" t="s">
        <v>183</v>
      </c>
      <c r="M7" s="3"/>
    </row>
    <row r="8" spans="1:13" x14ac:dyDescent="0.3">
      <c r="A8" s="140"/>
      <c r="B8" s="142">
        <v>0</v>
      </c>
      <c r="C8" s="58"/>
      <c r="D8" s="141">
        <v>0</v>
      </c>
      <c r="E8" s="141">
        <v>0</v>
      </c>
      <c r="F8" s="141">
        <v>0</v>
      </c>
      <c r="G8" s="141">
        <v>0</v>
      </c>
      <c r="H8" s="141">
        <v>0</v>
      </c>
      <c r="I8" s="197">
        <f t="shared" si="0"/>
        <v>0</v>
      </c>
      <c r="J8" s="345"/>
    </row>
    <row r="9" spans="1:13" x14ac:dyDescent="0.3">
      <c r="A9" s="140"/>
      <c r="B9" s="142">
        <v>0</v>
      </c>
      <c r="C9" s="58"/>
      <c r="D9" s="141">
        <v>0</v>
      </c>
      <c r="E9" s="141">
        <v>0</v>
      </c>
      <c r="F9" s="141">
        <v>0</v>
      </c>
      <c r="G9" s="141">
        <v>0</v>
      </c>
      <c r="H9" s="141">
        <v>0</v>
      </c>
      <c r="I9" s="197">
        <f t="shared" si="0"/>
        <v>0</v>
      </c>
      <c r="J9" s="345"/>
    </row>
    <row r="10" spans="1:13" ht="15.6" customHeight="1" x14ac:dyDescent="0.3">
      <c r="A10" s="140"/>
      <c r="B10" s="142">
        <v>0</v>
      </c>
      <c r="C10" s="58"/>
      <c r="D10" s="141">
        <v>0</v>
      </c>
      <c r="E10" s="141">
        <v>0</v>
      </c>
      <c r="F10" s="141">
        <v>0</v>
      </c>
      <c r="G10" s="141">
        <v>0</v>
      </c>
      <c r="H10" s="141">
        <v>0</v>
      </c>
      <c r="I10" s="197">
        <f t="shared" si="0"/>
        <v>0</v>
      </c>
      <c r="J10" s="345"/>
      <c r="M10" s="3"/>
    </row>
    <row r="11" spans="1:13" ht="15.6" customHeight="1" x14ac:dyDescent="0.3">
      <c r="A11" s="140"/>
      <c r="B11" s="142">
        <v>0</v>
      </c>
      <c r="C11" s="58"/>
      <c r="D11" s="141">
        <v>0</v>
      </c>
      <c r="E11" s="141">
        <v>0</v>
      </c>
      <c r="F11" s="141">
        <v>0</v>
      </c>
      <c r="G11" s="141">
        <v>0</v>
      </c>
      <c r="H11" s="141">
        <v>0</v>
      </c>
      <c r="I11" s="197">
        <f t="shared" si="0"/>
        <v>0</v>
      </c>
      <c r="J11" s="345"/>
      <c r="M11" s="3"/>
    </row>
    <row r="12" spans="1:13" x14ac:dyDescent="0.3">
      <c r="A12" s="140"/>
      <c r="B12" s="142">
        <v>0</v>
      </c>
      <c r="C12" s="58"/>
      <c r="D12" s="141">
        <v>0</v>
      </c>
      <c r="E12" s="141">
        <v>0</v>
      </c>
      <c r="F12" s="141">
        <v>0</v>
      </c>
      <c r="G12" s="141">
        <v>0</v>
      </c>
      <c r="H12" s="141">
        <v>0</v>
      </c>
      <c r="I12" s="197">
        <f t="shared" si="0"/>
        <v>0</v>
      </c>
      <c r="J12" s="345"/>
    </row>
    <row r="13" spans="1:13" ht="15.6" customHeight="1" x14ac:dyDescent="0.3">
      <c r="A13" s="140"/>
      <c r="B13" s="142">
        <v>0</v>
      </c>
      <c r="C13" s="58"/>
      <c r="D13" s="141">
        <v>0</v>
      </c>
      <c r="E13" s="141">
        <v>0</v>
      </c>
      <c r="F13" s="141">
        <v>0</v>
      </c>
      <c r="G13" s="141">
        <v>0</v>
      </c>
      <c r="H13" s="141">
        <v>0</v>
      </c>
      <c r="I13" s="197">
        <f t="shared" si="0"/>
        <v>0</v>
      </c>
      <c r="J13" s="345"/>
      <c r="M13" s="3"/>
    </row>
    <row r="14" spans="1:13" s="10" customFormat="1" ht="15.6" customHeight="1" x14ac:dyDescent="0.3">
      <c r="B14" s="4"/>
      <c r="C14" s="4"/>
      <c r="D14" s="4"/>
      <c r="E14" s="4"/>
      <c r="F14" s="4"/>
      <c r="G14" s="4"/>
      <c r="H14" s="4"/>
      <c r="I14" s="198"/>
      <c r="K14" s="322"/>
      <c r="L14" s="322"/>
      <c r="M14" s="322"/>
    </row>
    <row r="15" spans="1:13" ht="15.6" hidden="1" customHeight="1" x14ac:dyDescent="0.3">
      <c r="A15" s="7"/>
      <c r="C15" s="11"/>
      <c r="D15" s="117">
        <f t="shared" ref="D15:H25" si="1">IF(D3&gt;0,(D3*$B3),0)</f>
        <v>0</v>
      </c>
      <c r="E15" s="117">
        <f t="shared" si="1"/>
        <v>0</v>
      </c>
      <c r="F15" s="117">
        <f t="shared" si="1"/>
        <v>0</v>
      </c>
      <c r="G15" s="117">
        <f t="shared" si="1"/>
        <v>0</v>
      </c>
      <c r="H15" s="117">
        <f t="shared" si="1"/>
        <v>0</v>
      </c>
      <c r="I15" s="199"/>
      <c r="J15" s="322"/>
    </row>
    <row r="16" spans="1:13" hidden="1" x14ac:dyDescent="0.3">
      <c r="D16" s="117">
        <f t="shared" si="1"/>
        <v>0</v>
      </c>
      <c r="E16" s="117">
        <f t="shared" si="1"/>
        <v>0</v>
      </c>
      <c r="F16" s="117">
        <f t="shared" si="1"/>
        <v>0</v>
      </c>
      <c r="G16" s="117">
        <f t="shared" si="1"/>
        <v>0</v>
      </c>
      <c r="H16" s="117">
        <f t="shared" si="1"/>
        <v>0</v>
      </c>
      <c r="I16" s="199"/>
    </row>
    <row r="17" spans="2:9" hidden="1" x14ac:dyDescent="0.3">
      <c r="D17" s="117">
        <f t="shared" si="1"/>
        <v>0</v>
      </c>
      <c r="E17" s="117">
        <f t="shared" si="1"/>
        <v>0</v>
      </c>
      <c r="F17" s="117">
        <f t="shared" si="1"/>
        <v>0</v>
      </c>
      <c r="G17" s="117">
        <f t="shared" si="1"/>
        <v>0</v>
      </c>
      <c r="H17" s="117">
        <f t="shared" si="1"/>
        <v>0</v>
      </c>
      <c r="I17" s="199"/>
    </row>
    <row r="18" spans="2:9" hidden="1" x14ac:dyDescent="0.3">
      <c r="D18" s="117">
        <f t="shared" si="1"/>
        <v>0</v>
      </c>
      <c r="E18" s="117">
        <f t="shared" si="1"/>
        <v>0</v>
      </c>
      <c r="F18" s="117">
        <f t="shared" si="1"/>
        <v>0</v>
      </c>
      <c r="G18" s="117">
        <f t="shared" si="1"/>
        <v>0</v>
      </c>
      <c r="H18" s="117">
        <f t="shared" si="1"/>
        <v>0</v>
      </c>
      <c r="I18" s="199"/>
    </row>
    <row r="19" spans="2:9" hidden="1" x14ac:dyDescent="0.3">
      <c r="D19" s="117">
        <f t="shared" si="1"/>
        <v>0</v>
      </c>
      <c r="E19" s="117">
        <f t="shared" si="1"/>
        <v>0</v>
      </c>
      <c r="F19" s="117">
        <f t="shared" si="1"/>
        <v>0</v>
      </c>
      <c r="G19" s="117">
        <f t="shared" si="1"/>
        <v>0</v>
      </c>
      <c r="H19" s="117">
        <f t="shared" si="1"/>
        <v>0</v>
      </c>
      <c r="I19" s="199"/>
    </row>
    <row r="20" spans="2:9" hidden="1" x14ac:dyDescent="0.3">
      <c r="D20" s="117">
        <f t="shared" si="1"/>
        <v>0</v>
      </c>
      <c r="E20" s="117">
        <f t="shared" si="1"/>
        <v>0</v>
      </c>
      <c r="F20" s="117">
        <f t="shared" si="1"/>
        <v>0</v>
      </c>
      <c r="G20" s="117">
        <f t="shared" si="1"/>
        <v>0</v>
      </c>
      <c r="H20" s="117">
        <f t="shared" si="1"/>
        <v>0</v>
      </c>
      <c r="I20" s="199"/>
    </row>
    <row r="21" spans="2:9" hidden="1" x14ac:dyDescent="0.3">
      <c r="D21" s="117">
        <f t="shared" si="1"/>
        <v>0</v>
      </c>
      <c r="E21" s="117">
        <f t="shared" si="1"/>
        <v>0</v>
      </c>
      <c r="F21" s="117">
        <f t="shared" si="1"/>
        <v>0</v>
      </c>
      <c r="G21" s="117">
        <f t="shared" si="1"/>
        <v>0</v>
      </c>
      <c r="H21" s="117">
        <f t="shared" si="1"/>
        <v>0</v>
      </c>
      <c r="I21" s="199"/>
    </row>
    <row r="22" spans="2:9" hidden="1" x14ac:dyDescent="0.3">
      <c r="D22" s="117">
        <f t="shared" si="1"/>
        <v>0</v>
      </c>
      <c r="E22" s="117">
        <f t="shared" si="1"/>
        <v>0</v>
      </c>
      <c r="F22" s="117">
        <f t="shared" si="1"/>
        <v>0</v>
      </c>
      <c r="G22" s="117">
        <f t="shared" si="1"/>
        <v>0</v>
      </c>
      <c r="H22" s="117">
        <f t="shared" si="1"/>
        <v>0</v>
      </c>
      <c r="I22" s="199"/>
    </row>
    <row r="23" spans="2:9" hidden="1" x14ac:dyDescent="0.3">
      <c r="D23" s="117">
        <f t="shared" si="1"/>
        <v>0</v>
      </c>
      <c r="E23" s="117">
        <f t="shared" si="1"/>
        <v>0</v>
      </c>
      <c r="F23" s="117">
        <f t="shared" si="1"/>
        <v>0</v>
      </c>
      <c r="G23" s="117">
        <f t="shared" si="1"/>
        <v>0</v>
      </c>
      <c r="H23" s="117">
        <f t="shared" si="1"/>
        <v>0</v>
      </c>
      <c r="I23" s="199"/>
    </row>
    <row r="24" spans="2:9" hidden="1" x14ac:dyDescent="0.3">
      <c r="D24" s="117">
        <f t="shared" si="1"/>
        <v>0</v>
      </c>
      <c r="E24" s="117">
        <f t="shared" si="1"/>
        <v>0</v>
      </c>
      <c r="F24" s="117">
        <f t="shared" si="1"/>
        <v>0</v>
      </c>
      <c r="G24" s="117">
        <f t="shared" si="1"/>
        <v>0</v>
      </c>
      <c r="H24" s="117">
        <f t="shared" si="1"/>
        <v>0</v>
      </c>
      <c r="I24" s="199"/>
    </row>
    <row r="25" spans="2:9" hidden="1" x14ac:dyDescent="0.3">
      <c r="D25" s="117">
        <f t="shared" si="1"/>
        <v>0</v>
      </c>
      <c r="E25" s="117">
        <f t="shared" si="1"/>
        <v>0</v>
      </c>
      <c r="F25" s="117">
        <f t="shared" si="1"/>
        <v>0</v>
      </c>
      <c r="G25" s="117">
        <f t="shared" si="1"/>
        <v>0</v>
      </c>
      <c r="H25" s="117">
        <f t="shared" si="1"/>
        <v>0</v>
      </c>
      <c r="I25" s="199"/>
    </row>
    <row r="26" spans="2:9" ht="15.6" customHeight="1" x14ac:dyDescent="0.3">
      <c r="B26" s="7" t="s">
        <v>22</v>
      </c>
      <c r="D26" s="8">
        <f>ROUND(SUM(D15:D25),0)</f>
        <v>0</v>
      </c>
      <c r="E26" s="8">
        <f>ROUND(SUM(E15:E25),0)</f>
        <v>0</v>
      </c>
      <c r="F26" s="8">
        <f>ROUND(SUM(F15:F25),0)</f>
        <v>0</v>
      </c>
      <c r="G26" s="8">
        <f>ROUND(SUM(G15:G25),0)</f>
        <v>0</v>
      </c>
      <c r="H26" s="8">
        <f>ROUND(SUM(H15:H25),0)</f>
        <v>0</v>
      </c>
      <c r="I26" s="8">
        <f>ROUND(SUM(D26:H26),0)</f>
        <v>0</v>
      </c>
    </row>
    <row r="27" spans="2:9" x14ac:dyDescent="0.3">
      <c r="D27" s="49"/>
      <c r="E27" s="49"/>
      <c r="F27" s="49"/>
      <c r="G27" s="49"/>
      <c r="H27" s="49"/>
      <c r="I27" s="49"/>
    </row>
    <row r="28" spans="2:9" hidden="1" x14ac:dyDescent="0.3">
      <c r="D28" s="49"/>
      <c r="E28" s="49"/>
      <c r="F28" s="49"/>
      <c r="G28" s="49"/>
      <c r="H28" s="49"/>
      <c r="I28" s="49"/>
    </row>
    <row r="29" spans="2:9" hidden="1" x14ac:dyDescent="0.3">
      <c r="D29" s="200">
        <f t="shared" ref="D29:H39" si="2">IF($C3="Cost Share",D15,0)</f>
        <v>0</v>
      </c>
      <c r="E29" s="200">
        <f t="shared" si="2"/>
        <v>0</v>
      </c>
      <c r="F29" s="200">
        <f t="shared" si="2"/>
        <v>0</v>
      </c>
      <c r="G29" s="200">
        <f t="shared" si="2"/>
        <v>0</v>
      </c>
      <c r="H29" s="200">
        <f t="shared" si="2"/>
        <v>0</v>
      </c>
      <c r="I29" s="4"/>
    </row>
    <row r="30" spans="2:9" hidden="1" x14ac:dyDescent="0.3">
      <c r="D30" s="200">
        <f t="shared" si="2"/>
        <v>0</v>
      </c>
      <c r="E30" s="200">
        <f t="shared" si="2"/>
        <v>0</v>
      </c>
      <c r="F30" s="200">
        <f t="shared" si="2"/>
        <v>0</v>
      </c>
      <c r="G30" s="200">
        <f t="shared" si="2"/>
        <v>0</v>
      </c>
      <c r="H30" s="200">
        <f t="shared" si="2"/>
        <v>0</v>
      </c>
      <c r="I30" s="4"/>
    </row>
    <row r="31" spans="2:9" hidden="1" x14ac:dyDescent="0.3">
      <c r="D31" s="200">
        <f t="shared" si="2"/>
        <v>0</v>
      </c>
      <c r="E31" s="200">
        <f t="shared" si="2"/>
        <v>0</v>
      </c>
      <c r="F31" s="200">
        <f t="shared" si="2"/>
        <v>0</v>
      </c>
      <c r="G31" s="200">
        <f t="shared" si="2"/>
        <v>0</v>
      </c>
      <c r="H31" s="200">
        <f t="shared" si="2"/>
        <v>0</v>
      </c>
      <c r="I31" s="4"/>
    </row>
    <row r="32" spans="2:9" hidden="1" x14ac:dyDescent="0.3">
      <c r="D32" s="200">
        <f t="shared" si="2"/>
        <v>0</v>
      </c>
      <c r="E32" s="200">
        <f t="shared" si="2"/>
        <v>0</v>
      </c>
      <c r="F32" s="200">
        <f t="shared" si="2"/>
        <v>0</v>
      </c>
      <c r="G32" s="200">
        <f t="shared" si="2"/>
        <v>0</v>
      </c>
      <c r="H32" s="200">
        <f t="shared" si="2"/>
        <v>0</v>
      </c>
      <c r="I32" s="4"/>
    </row>
    <row r="33" spans="1:9" hidden="1" x14ac:dyDescent="0.3">
      <c r="D33" s="200">
        <f t="shared" si="2"/>
        <v>0</v>
      </c>
      <c r="E33" s="200">
        <f t="shared" si="2"/>
        <v>0</v>
      </c>
      <c r="F33" s="200">
        <f t="shared" si="2"/>
        <v>0</v>
      </c>
      <c r="G33" s="200">
        <f t="shared" si="2"/>
        <v>0</v>
      </c>
      <c r="H33" s="200">
        <f t="shared" si="2"/>
        <v>0</v>
      </c>
      <c r="I33" s="4"/>
    </row>
    <row r="34" spans="1:9" hidden="1" x14ac:dyDescent="0.3">
      <c r="D34" s="200">
        <f t="shared" si="2"/>
        <v>0</v>
      </c>
      <c r="E34" s="200">
        <f t="shared" si="2"/>
        <v>0</v>
      </c>
      <c r="F34" s="200">
        <f t="shared" si="2"/>
        <v>0</v>
      </c>
      <c r="G34" s="200">
        <f t="shared" si="2"/>
        <v>0</v>
      </c>
      <c r="H34" s="200">
        <f t="shared" si="2"/>
        <v>0</v>
      </c>
      <c r="I34" s="4"/>
    </row>
    <row r="35" spans="1:9" hidden="1" x14ac:dyDescent="0.3">
      <c r="D35" s="200">
        <f t="shared" si="2"/>
        <v>0</v>
      </c>
      <c r="E35" s="200">
        <f t="shared" si="2"/>
        <v>0</v>
      </c>
      <c r="F35" s="200">
        <f t="shared" si="2"/>
        <v>0</v>
      </c>
      <c r="G35" s="200">
        <f t="shared" si="2"/>
        <v>0</v>
      </c>
      <c r="H35" s="200">
        <f t="shared" si="2"/>
        <v>0</v>
      </c>
      <c r="I35" s="4"/>
    </row>
    <row r="36" spans="1:9" hidden="1" x14ac:dyDescent="0.3">
      <c r="D36" s="200">
        <f t="shared" si="2"/>
        <v>0</v>
      </c>
      <c r="E36" s="200">
        <f t="shared" si="2"/>
        <v>0</v>
      </c>
      <c r="F36" s="200">
        <f t="shared" si="2"/>
        <v>0</v>
      </c>
      <c r="G36" s="200">
        <f t="shared" si="2"/>
        <v>0</v>
      </c>
      <c r="H36" s="200">
        <f t="shared" si="2"/>
        <v>0</v>
      </c>
      <c r="I36" s="4"/>
    </row>
    <row r="37" spans="1:9" hidden="1" x14ac:dyDescent="0.3">
      <c r="D37" s="200">
        <f t="shared" si="2"/>
        <v>0</v>
      </c>
      <c r="E37" s="200">
        <f t="shared" si="2"/>
        <v>0</v>
      </c>
      <c r="F37" s="200">
        <f t="shared" si="2"/>
        <v>0</v>
      </c>
      <c r="G37" s="200">
        <f t="shared" si="2"/>
        <v>0</v>
      </c>
      <c r="H37" s="200">
        <f t="shared" si="2"/>
        <v>0</v>
      </c>
      <c r="I37" s="4"/>
    </row>
    <row r="38" spans="1:9" hidden="1" x14ac:dyDescent="0.3">
      <c r="D38" s="200">
        <f t="shared" si="2"/>
        <v>0</v>
      </c>
      <c r="E38" s="200">
        <f t="shared" si="2"/>
        <v>0</v>
      </c>
      <c r="F38" s="200">
        <f t="shared" si="2"/>
        <v>0</v>
      </c>
      <c r="G38" s="200">
        <f t="shared" si="2"/>
        <v>0</v>
      </c>
      <c r="H38" s="200">
        <f t="shared" si="2"/>
        <v>0</v>
      </c>
      <c r="I38" s="4"/>
    </row>
    <row r="39" spans="1:9" hidden="1" x14ac:dyDescent="0.3">
      <c r="D39" s="200">
        <f t="shared" si="2"/>
        <v>0</v>
      </c>
      <c r="E39" s="200">
        <f t="shared" si="2"/>
        <v>0</v>
      </c>
      <c r="F39" s="200">
        <f t="shared" si="2"/>
        <v>0</v>
      </c>
      <c r="G39" s="200">
        <f t="shared" si="2"/>
        <v>0</v>
      </c>
      <c r="H39" s="200">
        <f t="shared" si="2"/>
        <v>0</v>
      </c>
      <c r="I39" s="4"/>
    </row>
    <row r="40" spans="1:9" ht="15.6" customHeight="1" x14ac:dyDescent="0.3">
      <c r="B40" s="7" t="s">
        <v>184</v>
      </c>
      <c r="D40" s="8">
        <f>ROUND(SUM(D29:D39),0)</f>
        <v>0</v>
      </c>
      <c r="E40" s="8">
        <f>ROUND(SUM(E29:E39),0)</f>
        <v>0</v>
      </c>
      <c r="F40" s="8">
        <f>ROUND(SUM(F29:F39),0)</f>
        <v>0</v>
      </c>
      <c r="G40" s="8">
        <f>ROUND(SUM(G29:G39),0)</f>
        <v>0</v>
      </c>
      <c r="H40" s="8">
        <f>ROUND(SUM(H29:H39),0)</f>
        <v>0</v>
      </c>
      <c r="I40" s="8">
        <f>ROUND(SUM(D40:H40),0)</f>
        <v>0</v>
      </c>
    </row>
    <row r="41" spans="1:9" x14ac:dyDescent="0.3">
      <c r="A41" s="350"/>
    </row>
    <row r="42" spans="1:9" hidden="1" x14ac:dyDescent="0.3"/>
    <row r="43" spans="1:9" hidden="1" x14ac:dyDescent="0.3">
      <c r="A43" t="s">
        <v>178</v>
      </c>
    </row>
    <row r="44" spans="1:9" hidden="1" x14ac:dyDescent="0.3">
      <c r="A44" t="s">
        <v>176</v>
      </c>
    </row>
    <row r="45" spans="1:9" hidden="1" x14ac:dyDescent="0.3">
      <c r="A45" t="s">
        <v>180</v>
      </c>
    </row>
    <row r="46" spans="1:9" hidden="1" x14ac:dyDescent="0.3">
      <c r="A46" t="s">
        <v>25</v>
      </c>
    </row>
    <row r="47" spans="1:9" ht="27.6" hidden="1" customHeight="1" x14ac:dyDescent="0.3">
      <c r="A47" s="195" t="s">
        <v>185</v>
      </c>
    </row>
    <row r="48" spans="1:9" hidden="1" x14ac:dyDescent="0.3">
      <c r="A48" s="195" t="s">
        <v>186</v>
      </c>
    </row>
    <row r="49" spans="1:1" hidden="1" x14ac:dyDescent="0.3">
      <c r="A49" s="195" t="s">
        <v>187</v>
      </c>
    </row>
    <row r="50" spans="1:1" hidden="1" x14ac:dyDescent="0.3">
      <c r="A50" s="195" t="s">
        <v>188</v>
      </c>
    </row>
    <row r="51" spans="1:1" hidden="1" x14ac:dyDescent="0.3">
      <c r="A51" s="195" t="s">
        <v>189</v>
      </c>
    </row>
    <row r="52" spans="1:1" hidden="1" x14ac:dyDescent="0.3">
      <c r="A52" s="195" t="s">
        <v>190</v>
      </c>
    </row>
  </sheetData>
  <sheetProtection algorithmName="SHA-512" hashValue="v5piTTOQazo3ko0fotSmNzKNUAGkmWeW2Zzu67XEh+56udy4Fg1dZGS2f04ibpml5sMleQf5QMF9cT91hjoqwg==" saltValue="vDDgiyslhoYVp13oKUhaag==" spinCount="100000" sheet="1" objects="1" scenarios="1"/>
  <dataValidations count="1">
    <dataValidation type="list" allowBlank="1" showInputMessage="1" showErrorMessage="1" sqref="C3:C13" xr:uid="{00000000-0002-0000-0900-000000000000}">
      <formula1>$A$43:$A$46</formula1>
    </dataValidation>
  </dataValidations>
  <pageMargins left="0.7" right="0.7" top="0.75" bottom="0.75" header="0.3" footer="0.3"/>
  <pageSetup orientation="portrait" horizontalDpi="1200" verticalDpi="120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52"/>
  <sheetViews>
    <sheetView topLeftCell="A2" zoomScale="120" zoomScaleNormal="120" workbookViewId="0">
      <selection activeCell="D4" sqref="D4"/>
    </sheetView>
  </sheetViews>
  <sheetFormatPr defaultColWidth="8.6640625" defaultRowHeight="14.4" x14ac:dyDescent="0.3"/>
  <cols>
    <col min="1" max="1" width="25.44140625" customWidth="1"/>
    <col min="2" max="3" width="12.44140625" customWidth="1"/>
    <col min="4" max="4" width="13.44140625" customWidth="1"/>
    <col min="5" max="8" width="12.44140625" customWidth="1"/>
    <col min="9" max="9" width="13.44140625" bestFit="1" customWidth="1"/>
    <col min="10" max="10" width="35.44140625" customWidth="1"/>
    <col min="11" max="13" width="13" hidden="1" customWidth="1"/>
  </cols>
  <sheetData>
    <row r="1" spans="1:13" x14ac:dyDescent="0.3">
      <c r="A1" s="326"/>
    </row>
    <row r="2" spans="1:13" ht="46.95" customHeight="1" x14ac:dyDescent="0.3">
      <c r="A2" s="5" t="s">
        <v>168</v>
      </c>
      <c r="B2" s="6" t="s">
        <v>169</v>
      </c>
      <c r="C2" s="6" t="s">
        <v>170</v>
      </c>
      <c r="D2" s="6" t="s">
        <v>171</v>
      </c>
      <c r="E2" s="6" t="s">
        <v>172</v>
      </c>
      <c r="F2" s="6" t="s">
        <v>173</v>
      </c>
      <c r="G2" s="6" t="s">
        <v>174</v>
      </c>
      <c r="H2" s="6" t="s">
        <v>175</v>
      </c>
      <c r="I2" s="6" t="s">
        <v>20</v>
      </c>
      <c r="J2" s="5" t="s">
        <v>21</v>
      </c>
      <c r="K2" s="12" t="s">
        <v>176</v>
      </c>
      <c r="L2" s="12">
        <v>1</v>
      </c>
      <c r="M2" s="3" t="s">
        <v>177</v>
      </c>
    </row>
    <row r="3" spans="1:13" ht="15.6" customHeight="1" x14ac:dyDescent="0.3">
      <c r="A3" s="183"/>
      <c r="B3" s="139">
        <v>0</v>
      </c>
      <c r="C3" s="58" t="s">
        <v>178</v>
      </c>
      <c r="D3" s="141">
        <v>0</v>
      </c>
      <c r="E3" s="141"/>
      <c r="F3" s="141"/>
      <c r="G3" s="141"/>
      <c r="H3" s="141"/>
      <c r="I3" s="1">
        <f t="shared" ref="I3:I13" si="0">ROUND(B3*(D3+E3+F3+G3+H3),0)</f>
        <v>0</v>
      </c>
      <c r="J3" s="140"/>
      <c r="K3" s="12" t="s">
        <v>178</v>
      </c>
      <c r="L3" s="12">
        <v>2</v>
      </c>
      <c r="M3" s="3" t="s">
        <v>179</v>
      </c>
    </row>
    <row r="4" spans="1:13" ht="15.6" customHeight="1" x14ac:dyDescent="0.3">
      <c r="A4" s="183"/>
      <c r="B4" s="139">
        <v>0</v>
      </c>
      <c r="C4" s="58" t="s">
        <v>176</v>
      </c>
      <c r="D4" s="141">
        <v>0</v>
      </c>
      <c r="E4" s="141">
        <v>0</v>
      </c>
      <c r="F4" s="141">
        <v>0</v>
      </c>
      <c r="G4" s="141">
        <v>0</v>
      </c>
      <c r="H4" s="141">
        <v>0</v>
      </c>
      <c r="I4" s="1">
        <f t="shared" si="0"/>
        <v>0</v>
      </c>
      <c r="J4" s="140"/>
      <c r="K4" s="12" t="s">
        <v>180</v>
      </c>
      <c r="L4" s="12">
        <v>3</v>
      </c>
      <c r="M4" s="3" t="s">
        <v>181</v>
      </c>
    </row>
    <row r="5" spans="1:13" ht="15.6" customHeight="1" x14ac:dyDescent="0.3">
      <c r="A5" s="183"/>
      <c r="B5" s="139">
        <v>0</v>
      </c>
      <c r="C5" s="58" t="s">
        <v>178</v>
      </c>
      <c r="D5" s="141">
        <v>0</v>
      </c>
      <c r="E5" s="141">
        <v>0</v>
      </c>
      <c r="F5" s="141">
        <v>0</v>
      </c>
      <c r="G5" s="141">
        <v>0</v>
      </c>
      <c r="H5" s="141">
        <v>0</v>
      </c>
      <c r="I5" s="1">
        <f t="shared" si="0"/>
        <v>0</v>
      </c>
      <c r="J5" s="140"/>
      <c r="L5" s="12">
        <v>4</v>
      </c>
      <c r="M5" s="3" t="s">
        <v>182</v>
      </c>
    </row>
    <row r="6" spans="1:13" ht="15.6" customHeight="1" x14ac:dyDescent="0.3">
      <c r="A6" s="183"/>
      <c r="B6" s="139">
        <v>0</v>
      </c>
      <c r="C6" s="58" t="s">
        <v>178</v>
      </c>
      <c r="D6" s="141">
        <v>0</v>
      </c>
      <c r="E6" s="141">
        <v>0</v>
      </c>
      <c r="F6" s="141">
        <v>0</v>
      </c>
      <c r="G6" s="141">
        <v>0</v>
      </c>
      <c r="H6" s="141">
        <v>0</v>
      </c>
      <c r="I6" s="1">
        <f t="shared" si="0"/>
        <v>0</v>
      </c>
      <c r="J6" s="140"/>
      <c r="L6" s="12">
        <v>5</v>
      </c>
      <c r="M6" s="3"/>
    </row>
    <row r="7" spans="1:13" ht="15.6" customHeight="1" x14ac:dyDescent="0.3">
      <c r="A7" s="183"/>
      <c r="B7" s="139">
        <v>0</v>
      </c>
      <c r="C7" s="58" t="s">
        <v>178</v>
      </c>
      <c r="D7" s="141">
        <v>0</v>
      </c>
      <c r="E7" s="141">
        <v>0</v>
      </c>
      <c r="F7" s="141">
        <v>0</v>
      </c>
      <c r="G7" s="141">
        <v>0</v>
      </c>
      <c r="H7" s="141">
        <v>0</v>
      </c>
      <c r="I7" s="1">
        <f t="shared" si="0"/>
        <v>0</v>
      </c>
      <c r="J7" s="140"/>
      <c r="L7" s="12" t="s">
        <v>183</v>
      </c>
      <c r="M7" s="3"/>
    </row>
    <row r="8" spans="1:13" x14ac:dyDescent="0.3">
      <c r="A8" s="183"/>
      <c r="B8" s="139">
        <v>0</v>
      </c>
      <c r="C8" s="58" t="s">
        <v>178</v>
      </c>
      <c r="D8" s="141">
        <v>0</v>
      </c>
      <c r="E8" s="141">
        <v>0</v>
      </c>
      <c r="F8" s="141">
        <v>0</v>
      </c>
      <c r="G8" s="141">
        <v>0</v>
      </c>
      <c r="H8" s="141">
        <v>0</v>
      </c>
      <c r="I8" s="1">
        <f t="shared" si="0"/>
        <v>0</v>
      </c>
      <c r="J8" s="140"/>
    </row>
    <row r="9" spans="1:13" x14ac:dyDescent="0.3">
      <c r="A9" s="183"/>
      <c r="B9" s="139">
        <v>0</v>
      </c>
      <c r="C9" s="58" t="s">
        <v>178</v>
      </c>
      <c r="D9" s="141">
        <v>0</v>
      </c>
      <c r="E9" s="141">
        <v>0</v>
      </c>
      <c r="F9" s="141">
        <v>0</v>
      </c>
      <c r="G9" s="141">
        <v>0</v>
      </c>
      <c r="H9" s="141">
        <v>0</v>
      </c>
      <c r="I9" s="1">
        <f t="shared" si="0"/>
        <v>0</v>
      </c>
      <c r="J9" s="140"/>
    </row>
    <row r="10" spans="1:13" ht="15.6" customHeight="1" x14ac:dyDescent="0.3">
      <c r="A10" s="183"/>
      <c r="B10" s="139">
        <v>0</v>
      </c>
      <c r="C10" s="58" t="s">
        <v>178</v>
      </c>
      <c r="D10" s="141">
        <v>0</v>
      </c>
      <c r="E10" s="141">
        <v>0</v>
      </c>
      <c r="F10" s="141">
        <v>0</v>
      </c>
      <c r="G10" s="141">
        <v>0</v>
      </c>
      <c r="H10" s="141">
        <v>0</v>
      </c>
      <c r="I10" s="1">
        <f t="shared" si="0"/>
        <v>0</v>
      </c>
      <c r="J10" s="140"/>
      <c r="M10" s="3"/>
    </row>
    <row r="11" spans="1:13" ht="15.6" customHeight="1" x14ac:dyDescent="0.3">
      <c r="A11" s="183"/>
      <c r="B11" s="139">
        <v>0</v>
      </c>
      <c r="C11" s="58" t="s">
        <v>178</v>
      </c>
      <c r="D11" s="141">
        <v>0</v>
      </c>
      <c r="E11" s="141">
        <v>0</v>
      </c>
      <c r="F11" s="141">
        <v>0</v>
      </c>
      <c r="G11" s="141">
        <v>0</v>
      </c>
      <c r="H11" s="141">
        <v>0</v>
      </c>
      <c r="I11" s="1">
        <f t="shared" si="0"/>
        <v>0</v>
      </c>
      <c r="J11" s="140"/>
      <c r="M11" s="3"/>
    </row>
    <row r="12" spans="1:13" x14ac:dyDescent="0.3">
      <c r="A12" s="183"/>
      <c r="B12" s="139">
        <v>0</v>
      </c>
      <c r="C12" s="58" t="s">
        <v>178</v>
      </c>
      <c r="D12" s="141">
        <v>0</v>
      </c>
      <c r="E12" s="141">
        <v>0</v>
      </c>
      <c r="F12" s="141">
        <v>0</v>
      </c>
      <c r="G12" s="141">
        <v>0</v>
      </c>
      <c r="H12" s="141">
        <v>0</v>
      </c>
      <c r="I12" s="1">
        <f t="shared" si="0"/>
        <v>0</v>
      </c>
      <c r="J12" s="140"/>
    </row>
    <row r="13" spans="1:13" ht="15.6" customHeight="1" x14ac:dyDescent="0.3">
      <c r="A13" s="183"/>
      <c r="B13" s="139">
        <v>0</v>
      </c>
      <c r="C13" s="58" t="s">
        <v>178</v>
      </c>
      <c r="D13" s="141">
        <v>0</v>
      </c>
      <c r="E13" s="141">
        <v>0</v>
      </c>
      <c r="F13" s="141">
        <v>0</v>
      </c>
      <c r="G13" s="141">
        <v>0</v>
      </c>
      <c r="H13" s="141">
        <v>0</v>
      </c>
      <c r="I13" s="1">
        <f t="shared" si="0"/>
        <v>0</v>
      </c>
      <c r="J13" s="140"/>
      <c r="M13" s="3"/>
    </row>
    <row r="14" spans="1:13" s="10" customFormat="1" ht="15.6" customHeight="1" x14ac:dyDescent="0.3">
      <c r="B14" s="4"/>
      <c r="C14" s="4"/>
      <c r="D14" s="4"/>
      <c r="E14" s="4"/>
      <c r="F14" s="4"/>
      <c r="G14" s="4"/>
      <c r="H14" s="4"/>
      <c r="K14" s="322"/>
      <c r="L14" s="322"/>
      <c r="M14" s="322"/>
    </row>
    <row r="15" spans="1:13" ht="15.6" hidden="1" customHeight="1" x14ac:dyDescent="0.3">
      <c r="A15" s="7"/>
      <c r="C15" s="11"/>
      <c r="D15" s="117">
        <f t="shared" ref="D15:H25" si="1">IF(D3&gt;0,(D3*$B3),0)</f>
        <v>0</v>
      </c>
      <c r="E15" s="117">
        <f t="shared" si="1"/>
        <v>0</v>
      </c>
      <c r="F15" s="117">
        <f t="shared" si="1"/>
        <v>0</v>
      </c>
      <c r="G15" s="117">
        <f t="shared" si="1"/>
        <v>0</v>
      </c>
      <c r="H15" s="117">
        <f t="shared" si="1"/>
        <v>0</v>
      </c>
      <c r="I15" s="44"/>
      <c r="J15" s="322"/>
    </row>
    <row r="16" spans="1:13" hidden="1" x14ac:dyDescent="0.3">
      <c r="D16" s="117">
        <f t="shared" si="1"/>
        <v>0</v>
      </c>
      <c r="E16" s="117">
        <f t="shared" si="1"/>
        <v>0</v>
      </c>
      <c r="F16" s="117">
        <f t="shared" si="1"/>
        <v>0</v>
      </c>
      <c r="G16" s="117">
        <f t="shared" si="1"/>
        <v>0</v>
      </c>
      <c r="H16" s="117">
        <f t="shared" si="1"/>
        <v>0</v>
      </c>
      <c r="I16" s="44"/>
    </row>
    <row r="17" spans="2:9" hidden="1" x14ac:dyDescent="0.3">
      <c r="D17" s="117">
        <f t="shared" si="1"/>
        <v>0</v>
      </c>
      <c r="E17" s="117">
        <f t="shared" si="1"/>
        <v>0</v>
      </c>
      <c r="F17" s="117">
        <f t="shared" si="1"/>
        <v>0</v>
      </c>
      <c r="G17" s="117">
        <f t="shared" si="1"/>
        <v>0</v>
      </c>
      <c r="H17" s="117">
        <f t="shared" si="1"/>
        <v>0</v>
      </c>
      <c r="I17" s="44"/>
    </row>
    <row r="18" spans="2:9" hidden="1" x14ac:dyDescent="0.3">
      <c r="D18" s="117">
        <f t="shared" si="1"/>
        <v>0</v>
      </c>
      <c r="E18" s="117">
        <f t="shared" si="1"/>
        <v>0</v>
      </c>
      <c r="F18" s="117">
        <f t="shared" si="1"/>
        <v>0</v>
      </c>
      <c r="G18" s="117">
        <f t="shared" si="1"/>
        <v>0</v>
      </c>
      <c r="H18" s="117">
        <f t="shared" si="1"/>
        <v>0</v>
      </c>
      <c r="I18" s="44"/>
    </row>
    <row r="19" spans="2:9" hidden="1" x14ac:dyDescent="0.3">
      <c r="D19" s="117">
        <f t="shared" si="1"/>
        <v>0</v>
      </c>
      <c r="E19" s="117">
        <f t="shared" si="1"/>
        <v>0</v>
      </c>
      <c r="F19" s="117">
        <f t="shared" si="1"/>
        <v>0</v>
      </c>
      <c r="G19" s="117">
        <f t="shared" si="1"/>
        <v>0</v>
      </c>
      <c r="H19" s="117">
        <f t="shared" si="1"/>
        <v>0</v>
      </c>
      <c r="I19" s="44"/>
    </row>
    <row r="20" spans="2:9" hidden="1" x14ac:dyDescent="0.3">
      <c r="D20" s="117">
        <f t="shared" si="1"/>
        <v>0</v>
      </c>
      <c r="E20" s="117">
        <f t="shared" si="1"/>
        <v>0</v>
      </c>
      <c r="F20" s="117">
        <f t="shared" si="1"/>
        <v>0</v>
      </c>
      <c r="G20" s="117">
        <f t="shared" si="1"/>
        <v>0</v>
      </c>
      <c r="H20" s="117">
        <f t="shared" si="1"/>
        <v>0</v>
      </c>
      <c r="I20" s="44"/>
    </row>
    <row r="21" spans="2:9" hidden="1" x14ac:dyDescent="0.3">
      <c r="D21" s="117">
        <f t="shared" si="1"/>
        <v>0</v>
      </c>
      <c r="E21" s="117">
        <f t="shared" si="1"/>
        <v>0</v>
      </c>
      <c r="F21" s="117">
        <f t="shared" si="1"/>
        <v>0</v>
      </c>
      <c r="G21" s="117">
        <f t="shared" si="1"/>
        <v>0</v>
      </c>
      <c r="H21" s="117">
        <f t="shared" si="1"/>
        <v>0</v>
      </c>
      <c r="I21" s="44"/>
    </row>
    <row r="22" spans="2:9" hidden="1" x14ac:dyDescent="0.3">
      <c r="D22" s="117">
        <f t="shared" si="1"/>
        <v>0</v>
      </c>
      <c r="E22" s="117">
        <f t="shared" si="1"/>
        <v>0</v>
      </c>
      <c r="F22" s="117">
        <f t="shared" si="1"/>
        <v>0</v>
      </c>
      <c r="G22" s="117">
        <f t="shared" si="1"/>
        <v>0</v>
      </c>
      <c r="H22" s="117">
        <f t="shared" si="1"/>
        <v>0</v>
      </c>
      <c r="I22" s="44"/>
    </row>
    <row r="23" spans="2:9" hidden="1" x14ac:dyDescent="0.3">
      <c r="D23" s="117">
        <f t="shared" si="1"/>
        <v>0</v>
      </c>
      <c r="E23" s="117">
        <f t="shared" si="1"/>
        <v>0</v>
      </c>
      <c r="F23" s="117">
        <f t="shared" si="1"/>
        <v>0</v>
      </c>
      <c r="G23" s="117">
        <f t="shared" si="1"/>
        <v>0</v>
      </c>
      <c r="H23" s="117">
        <f t="shared" si="1"/>
        <v>0</v>
      </c>
      <c r="I23" s="44"/>
    </row>
    <row r="24" spans="2:9" hidden="1" x14ac:dyDescent="0.3">
      <c r="D24" s="117">
        <f t="shared" si="1"/>
        <v>0</v>
      </c>
      <c r="E24" s="117">
        <f t="shared" si="1"/>
        <v>0</v>
      </c>
      <c r="F24" s="117">
        <f t="shared" si="1"/>
        <v>0</v>
      </c>
      <c r="G24" s="117">
        <f t="shared" si="1"/>
        <v>0</v>
      </c>
      <c r="H24" s="117">
        <f t="shared" si="1"/>
        <v>0</v>
      </c>
      <c r="I24" s="44"/>
    </row>
    <row r="25" spans="2:9" hidden="1" x14ac:dyDescent="0.3">
      <c r="D25" s="117">
        <f t="shared" si="1"/>
        <v>0</v>
      </c>
      <c r="E25" s="117">
        <f t="shared" si="1"/>
        <v>0</v>
      </c>
      <c r="F25" s="117">
        <f t="shared" si="1"/>
        <v>0</v>
      </c>
      <c r="G25" s="117">
        <f t="shared" si="1"/>
        <v>0</v>
      </c>
      <c r="H25" s="117">
        <f t="shared" si="1"/>
        <v>0</v>
      </c>
      <c r="I25" s="44"/>
    </row>
    <row r="26" spans="2:9" ht="15.6" customHeight="1" x14ac:dyDescent="0.3">
      <c r="B26" s="7" t="s">
        <v>22</v>
      </c>
      <c r="D26" s="8">
        <f>ROUND(SUM(D15:D25),0)</f>
        <v>0</v>
      </c>
      <c r="E26" s="8">
        <f>ROUND(SUM(E15:E25),0)</f>
        <v>0</v>
      </c>
      <c r="F26" s="8">
        <f>ROUND(SUM(F15:F25),0)</f>
        <v>0</v>
      </c>
      <c r="G26" s="8">
        <f>ROUND(SUM(G15:G25),0)</f>
        <v>0</v>
      </c>
      <c r="H26" s="8">
        <f>ROUND(SUM(H15:H25),0)</f>
        <v>0</v>
      </c>
      <c r="I26" s="8">
        <f>ROUND(SUM(D26:H26),0)</f>
        <v>0</v>
      </c>
    </row>
    <row r="27" spans="2:9" x14ac:dyDescent="0.3">
      <c r="D27" s="49"/>
      <c r="E27" s="49"/>
      <c r="F27" s="49"/>
      <c r="G27" s="49"/>
      <c r="H27" s="49"/>
      <c r="I27" s="49"/>
    </row>
    <row r="28" spans="2:9" hidden="1" x14ac:dyDescent="0.3">
      <c r="D28" s="49"/>
      <c r="E28" s="49"/>
      <c r="F28" s="49"/>
      <c r="G28" s="49"/>
      <c r="H28" s="49"/>
      <c r="I28" s="49"/>
    </row>
    <row r="29" spans="2:9" hidden="1" x14ac:dyDescent="0.3">
      <c r="D29" s="200">
        <f t="shared" ref="D29:H39" si="2">IF($C3="Cost Share",D15,0)</f>
        <v>0</v>
      </c>
      <c r="E29" s="200">
        <f t="shared" si="2"/>
        <v>0</v>
      </c>
      <c r="F29" s="200">
        <f t="shared" si="2"/>
        <v>0</v>
      </c>
      <c r="G29" s="200">
        <f t="shared" si="2"/>
        <v>0</v>
      </c>
      <c r="H29" s="200">
        <f t="shared" si="2"/>
        <v>0</v>
      </c>
      <c r="I29" s="4"/>
    </row>
    <row r="30" spans="2:9" hidden="1" x14ac:dyDescent="0.3">
      <c r="D30" s="200">
        <f t="shared" si="2"/>
        <v>0</v>
      </c>
      <c r="E30" s="200">
        <f t="shared" si="2"/>
        <v>0</v>
      </c>
      <c r="F30" s="200">
        <f t="shared" si="2"/>
        <v>0</v>
      </c>
      <c r="G30" s="200">
        <f t="shared" si="2"/>
        <v>0</v>
      </c>
      <c r="H30" s="200">
        <f t="shared" si="2"/>
        <v>0</v>
      </c>
      <c r="I30" s="4"/>
    </row>
    <row r="31" spans="2:9" hidden="1" x14ac:dyDescent="0.3">
      <c r="D31" s="200">
        <f t="shared" si="2"/>
        <v>0</v>
      </c>
      <c r="E31" s="200">
        <f t="shared" si="2"/>
        <v>0</v>
      </c>
      <c r="F31" s="200">
        <f t="shared" si="2"/>
        <v>0</v>
      </c>
      <c r="G31" s="200">
        <f t="shared" si="2"/>
        <v>0</v>
      </c>
      <c r="H31" s="200">
        <f t="shared" si="2"/>
        <v>0</v>
      </c>
      <c r="I31" s="4"/>
    </row>
    <row r="32" spans="2:9" hidden="1" x14ac:dyDescent="0.3">
      <c r="D32" s="200">
        <f t="shared" si="2"/>
        <v>0</v>
      </c>
      <c r="E32" s="200">
        <f t="shared" si="2"/>
        <v>0</v>
      </c>
      <c r="F32" s="200">
        <f t="shared" si="2"/>
        <v>0</v>
      </c>
      <c r="G32" s="200">
        <f t="shared" si="2"/>
        <v>0</v>
      </c>
      <c r="H32" s="200">
        <f t="shared" si="2"/>
        <v>0</v>
      </c>
      <c r="I32" s="4"/>
    </row>
    <row r="33" spans="1:9" hidden="1" x14ac:dyDescent="0.3">
      <c r="D33" s="200">
        <f t="shared" si="2"/>
        <v>0</v>
      </c>
      <c r="E33" s="200">
        <f t="shared" si="2"/>
        <v>0</v>
      </c>
      <c r="F33" s="200">
        <f t="shared" si="2"/>
        <v>0</v>
      </c>
      <c r="G33" s="200">
        <f t="shared" si="2"/>
        <v>0</v>
      </c>
      <c r="H33" s="200">
        <f t="shared" si="2"/>
        <v>0</v>
      </c>
      <c r="I33" s="4"/>
    </row>
    <row r="34" spans="1:9" hidden="1" x14ac:dyDescent="0.3">
      <c r="D34" s="200">
        <f t="shared" si="2"/>
        <v>0</v>
      </c>
      <c r="E34" s="200">
        <f t="shared" si="2"/>
        <v>0</v>
      </c>
      <c r="F34" s="200">
        <f t="shared" si="2"/>
        <v>0</v>
      </c>
      <c r="G34" s="200">
        <f t="shared" si="2"/>
        <v>0</v>
      </c>
      <c r="H34" s="200">
        <f t="shared" si="2"/>
        <v>0</v>
      </c>
      <c r="I34" s="4"/>
    </row>
    <row r="35" spans="1:9" hidden="1" x14ac:dyDescent="0.3">
      <c r="D35" s="200">
        <f t="shared" si="2"/>
        <v>0</v>
      </c>
      <c r="E35" s="200">
        <f t="shared" si="2"/>
        <v>0</v>
      </c>
      <c r="F35" s="200">
        <f t="shared" si="2"/>
        <v>0</v>
      </c>
      <c r="G35" s="200">
        <f t="shared" si="2"/>
        <v>0</v>
      </c>
      <c r="H35" s="200">
        <f t="shared" si="2"/>
        <v>0</v>
      </c>
      <c r="I35" s="4"/>
    </row>
    <row r="36" spans="1:9" hidden="1" x14ac:dyDescent="0.3">
      <c r="D36" s="200">
        <f t="shared" si="2"/>
        <v>0</v>
      </c>
      <c r="E36" s="200">
        <f t="shared" si="2"/>
        <v>0</v>
      </c>
      <c r="F36" s="200">
        <f t="shared" si="2"/>
        <v>0</v>
      </c>
      <c r="G36" s="200">
        <f t="shared" si="2"/>
        <v>0</v>
      </c>
      <c r="H36" s="200">
        <f t="shared" si="2"/>
        <v>0</v>
      </c>
      <c r="I36" s="4"/>
    </row>
    <row r="37" spans="1:9" hidden="1" x14ac:dyDescent="0.3">
      <c r="D37" s="200">
        <f t="shared" si="2"/>
        <v>0</v>
      </c>
      <c r="E37" s="200">
        <f t="shared" si="2"/>
        <v>0</v>
      </c>
      <c r="F37" s="200">
        <f t="shared" si="2"/>
        <v>0</v>
      </c>
      <c r="G37" s="200">
        <f t="shared" si="2"/>
        <v>0</v>
      </c>
      <c r="H37" s="200">
        <f t="shared" si="2"/>
        <v>0</v>
      </c>
      <c r="I37" s="4"/>
    </row>
    <row r="38" spans="1:9" hidden="1" x14ac:dyDescent="0.3">
      <c r="D38" s="200">
        <f t="shared" si="2"/>
        <v>0</v>
      </c>
      <c r="E38" s="200">
        <f t="shared" si="2"/>
        <v>0</v>
      </c>
      <c r="F38" s="200">
        <f t="shared" si="2"/>
        <v>0</v>
      </c>
      <c r="G38" s="200">
        <f t="shared" si="2"/>
        <v>0</v>
      </c>
      <c r="H38" s="200">
        <f t="shared" si="2"/>
        <v>0</v>
      </c>
      <c r="I38" s="4"/>
    </row>
    <row r="39" spans="1:9" hidden="1" x14ac:dyDescent="0.3">
      <c r="D39" s="200">
        <f t="shared" si="2"/>
        <v>0</v>
      </c>
      <c r="E39" s="200">
        <f t="shared" si="2"/>
        <v>0</v>
      </c>
      <c r="F39" s="200">
        <f t="shared" si="2"/>
        <v>0</v>
      </c>
      <c r="G39" s="200">
        <f t="shared" si="2"/>
        <v>0</v>
      </c>
      <c r="H39" s="200">
        <f t="shared" si="2"/>
        <v>0</v>
      </c>
      <c r="I39" s="4"/>
    </row>
    <row r="40" spans="1:9" ht="15.6" customHeight="1" x14ac:dyDescent="0.3">
      <c r="B40" s="7" t="s">
        <v>184</v>
      </c>
      <c r="D40" s="8">
        <f>ROUND(SUM(D29:D39),0)</f>
        <v>0</v>
      </c>
      <c r="E40" s="8">
        <f>ROUND(SUM(E29:E39),0)</f>
        <v>0</v>
      </c>
      <c r="F40" s="8">
        <f>ROUND(SUM(F29:F39),0)</f>
        <v>0</v>
      </c>
      <c r="G40" s="8">
        <f>ROUND(SUM(G29:G39),0)</f>
        <v>0</v>
      </c>
      <c r="H40" s="8">
        <f>ROUND(SUM(H29:H39),0)</f>
        <v>0</v>
      </c>
      <c r="I40" s="8">
        <f>ROUND(SUM(D40:H40),0)</f>
        <v>0</v>
      </c>
    </row>
    <row r="43" spans="1:9" hidden="1" x14ac:dyDescent="0.3">
      <c r="A43" t="s">
        <v>178</v>
      </c>
    </row>
    <row r="44" spans="1:9" hidden="1" x14ac:dyDescent="0.3">
      <c r="A44" t="s">
        <v>176</v>
      </c>
    </row>
    <row r="45" spans="1:9" hidden="1" x14ac:dyDescent="0.3">
      <c r="A45" t="s">
        <v>180</v>
      </c>
    </row>
    <row r="46" spans="1:9" hidden="1" x14ac:dyDescent="0.3">
      <c r="A46" t="s">
        <v>25</v>
      </c>
    </row>
    <row r="48" spans="1:9" hidden="1" x14ac:dyDescent="0.3">
      <c r="A48" s="195" t="s">
        <v>191</v>
      </c>
    </row>
    <row r="49" spans="1:1" ht="27.6" hidden="1" customHeight="1" x14ac:dyDescent="0.3">
      <c r="A49" s="195" t="s">
        <v>192</v>
      </c>
    </row>
    <row r="50" spans="1:1" ht="27.6" hidden="1" customHeight="1" x14ac:dyDescent="0.3">
      <c r="A50" s="195" t="s">
        <v>193</v>
      </c>
    </row>
    <row r="51" spans="1:1" ht="27.6" hidden="1" customHeight="1" x14ac:dyDescent="0.3">
      <c r="A51" s="195" t="s">
        <v>194</v>
      </c>
    </row>
    <row r="52" spans="1:1" hidden="1" x14ac:dyDescent="0.3">
      <c r="A52" s="195" t="s">
        <v>195</v>
      </c>
    </row>
  </sheetData>
  <sheetProtection algorithmName="SHA-512" hashValue="DbYFvUs0DvLF4iJ4BI5zp4SPBJ4BVddKIe+tiW+bQ5B7vINqKjTniOdidq1beU2jK1X0/2gEaYGI5jqoZWfBKg==" saltValue="yWw/31HRsNlNmVa7iuSwHw==" spinCount="100000" sheet="1" objects="1" scenarios="1"/>
  <dataValidations count="2">
    <dataValidation type="list" allowBlank="1" showInputMessage="1" showErrorMessage="1" sqref="C3:C13" xr:uid="{00000000-0002-0000-0A00-000000000000}">
      <formula1>$A$43:$A$46</formula1>
    </dataValidation>
    <dataValidation type="list" allowBlank="1" showInputMessage="1" showErrorMessage="1" sqref="A3:A13" xr:uid="{00000000-0002-0000-0A00-000001000000}">
      <formula1>"Consulting Service, Commercial Vendor, Purchasing"</formula1>
    </dataValidation>
  </dataValidation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53"/>
  <sheetViews>
    <sheetView zoomScale="120" zoomScaleNormal="120" workbookViewId="0">
      <selection activeCell="D4" sqref="D4"/>
    </sheetView>
  </sheetViews>
  <sheetFormatPr defaultColWidth="8.6640625" defaultRowHeight="14.4" x14ac:dyDescent="0.3"/>
  <cols>
    <col min="1" max="1" width="35.109375" bestFit="1" customWidth="1"/>
    <col min="2" max="9" width="12.44140625" customWidth="1"/>
    <col min="10" max="10" width="35.44140625" customWidth="1"/>
    <col min="11" max="13" width="13" hidden="1" customWidth="1"/>
  </cols>
  <sheetData>
    <row r="1" spans="1:13" x14ac:dyDescent="0.3">
      <c r="A1" s="326"/>
    </row>
    <row r="2" spans="1:13" ht="46.95" customHeight="1" x14ac:dyDescent="0.3">
      <c r="A2" s="5" t="s">
        <v>168</v>
      </c>
      <c r="B2" s="6" t="s">
        <v>169</v>
      </c>
      <c r="C2" s="6" t="s">
        <v>170</v>
      </c>
      <c r="D2" s="6" t="s">
        <v>171</v>
      </c>
      <c r="E2" s="6" t="s">
        <v>172</v>
      </c>
      <c r="F2" s="6" t="s">
        <v>173</v>
      </c>
      <c r="G2" s="6" t="s">
        <v>174</v>
      </c>
      <c r="H2" s="6" t="s">
        <v>175</v>
      </c>
      <c r="I2" s="6" t="s">
        <v>20</v>
      </c>
      <c r="J2" s="5" t="s">
        <v>21</v>
      </c>
      <c r="K2" s="12" t="s">
        <v>176</v>
      </c>
      <c r="L2" s="12">
        <v>1</v>
      </c>
      <c r="M2" s="3" t="s">
        <v>177</v>
      </c>
    </row>
    <row r="3" spans="1:13" ht="15.6" customHeight="1" x14ac:dyDescent="0.3">
      <c r="A3" s="221" t="s">
        <v>196</v>
      </c>
      <c r="B3" s="139">
        <v>0</v>
      </c>
      <c r="C3" s="58" t="s">
        <v>178</v>
      </c>
      <c r="D3" s="141">
        <v>0</v>
      </c>
      <c r="E3" s="141">
        <v>0</v>
      </c>
      <c r="F3" s="141">
        <v>0</v>
      </c>
      <c r="G3" s="141">
        <v>0</v>
      </c>
      <c r="H3" s="141">
        <v>0</v>
      </c>
      <c r="I3" s="1">
        <f>ROUND(B3*(D3+E3+F3+G3+H3),)</f>
        <v>0</v>
      </c>
      <c r="J3" s="140"/>
      <c r="K3" s="12" t="s">
        <v>178</v>
      </c>
      <c r="L3" s="12">
        <v>2</v>
      </c>
      <c r="M3" s="3" t="s">
        <v>179</v>
      </c>
    </row>
    <row r="4" spans="1:13" ht="15.6" customHeight="1" x14ac:dyDescent="0.3">
      <c r="A4" s="221" t="s">
        <v>197</v>
      </c>
      <c r="B4" s="139">
        <v>0</v>
      </c>
      <c r="C4" s="58" t="s">
        <v>178</v>
      </c>
      <c r="D4" s="141">
        <v>0</v>
      </c>
      <c r="E4" s="141">
        <v>0</v>
      </c>
      <c r="F4" s="141">
        <v>0</v>
      </c>
      <c r="G4" s="141">
        <v>0</v>
      </c>
      <c r="H4" s="141">
        <v>0</v>
      </c>
      <c r="I4" s="1">
        <f>ROUND(B4*(D4+E4+F4+G4+H4),)</f>
        <v>0</v>
      </c>
      <c r="J4" s="140"/>
      <c r="K4" s="12" t="s">
        <v>180</v>
      </c>
      <c r="L4" s="12">
        <v>3</v>
      </c>
      <c r="M4" s="3" t="s">
        <v>181</v>
      </c>
    </row>
    <row r="5" spans="1:13" ht="15.6" customHeight="1" x14ac:dyDescent="0.3">
      <c r="A5" s="221" t="s">
        <v>198</v>
      </c>
      <c r="B5" s="139">
        <v>0</v>
      </c>
      <c r="C5" s="58" t="s">
        <v>178</v>
      </c>
      <c r="D5" s="141">
        <v>0</v>
      </c>
      <c r="E5" s="141">
        <v>0</v>
      </c>
      <c r="F5" s="141">
        <v>0</v>
      </c>
      <c r="G5" s="141">
        <v>0</v>
      </c>
      <c r="H5" s="141">
        <v>0</v>
      </c>
      <c r="I5" s="1">
        <f>ROUND(B5*(D5+E5+F5+G5+H5),)</f>
        <v>0</v>
      </c>
      <c r="J5" s="140"/>
      <c r="L5" s="12">
        <v>4</v>
      </c>
      <c r="M5" s="3" t="s">
        <v>182</v>
      </c>
    </row>
    <row r="6" spans="1:13" ht="15.6" customHeight="1" x14ac:dyDescent="0.3">
      <c r="A6" s="221" t="s">
        <v>199</v>
      </c>
      <c r="B6" s="139">
        <v>0</v>
      </c>
      <c r="C6" s="58" t="s">
        <v>178</v>
      </c>
      <c r="D6" s="141">
        <v>0</v>
      </c>
      <c r="E6" s="141">
        <v>0</v>
      </c>
      <c r="F6" s="141">
        <v>0</v>
      </c>
      <c r="G6" s="141">
        <v>0</v>
      </c>
      <c r="H6" s="141">
        <v>0</v>
      </c>
      <c r="I6" s="1">
        <f>ROUND(B6*(D6+E6+F6+G6+H6),)</f>
        <v>0</v>
      </c>
      <c r="J6" s="140"/>
      <c r="L6" s="12">
        <v>5</v>
      </c>
      <c r="M6" s="3"/>
    </row>
    <row r="7" spans="1:13" ht="15.6" customHeight="1" x14ac:dyDescent="0.3">
      <c r="A7" s="221" t="s">
        <v>32</v>
      </c>
      <c r="B7" s="139">
        <v>0</v>
      </c>
      <c r="C7" s="58" t="s">
        <v>178</v>
      </c>
      <c r="D7" s="141">
        <v>0</v>
      </c>
      <c r="E7" s="141">
        <v>0</v>
      </c>
      <c r="F7" s="141">
        <v>0</v>
      </c>
      <c r="G7" s="141">
        <v>0</v>
      </c>
      <c r="H7" s="141">
        <v>0</v>
      </c>
      <c r="I7" s="1">
        <f>ROUND(B7*(D7+E7+F7+G7+H7),)</f>
        <v>0</v>
      </c>
      <c r="J7" s="140"/>
      <c r="L7" s="12" t="s">
        <v>183</v>
      </c>
      <c r="M7" s="3"/>
    </row>
    <row r="8" spans="1:13" hidden="1" x14ac:dyDescent="0.3">
      <c r="A8" s="183"/>
      <c r="B8" s="139">
        <v>0</v>
      </c>
      <c r="C8" s="58" t="s">
        <v>178</v>
      </c>
      <c r="D8" s="141">
        <v>0</v>
      </c>
      <c r="E8" s="141">
        <v>0</v>
      </c>
      <c r="F8" s="141">
        <v>0</v>
      </c>
      <c r="G8" s="141">
        <v>0</v>
      </c>
      <c r="H8" s="141">
        <v>0</v>
      </c>
      <c r="I8" s="1">
        <f t="shared" ref="I8:I13" si="0">B8*(D8+E8+F8+G8+H8)</f>
        <v>0</v>
      </c>
      <c r="J8" s="140"/>
    </row>
    <row r="9" spans="1:13" hidden="1" x14ac:dyDescent="0.3">
      <c r="A9" s="183"/>
      <c r="B9" s="139">
        <v>0</v>
      </c>
      <c r="C9" s="58" t="s">
        <v>178</v>
      </c>
      <c r="D9" s="141">
        <v>0</v>
      </c>
      <c r="E9" s="141">
        <v>0</v>
      </c>
      <c r="F9" s="141">
        <v>0</v>
      </c>
      <c r="G9" s="141">
        <v>0</v>
      </c>
      <c r="H9" s="141">
        <v>0</v>
      </c>
      <c r="I9" s="1">
        <f t="shared" si="0"/>
        <v>0</v>
      </c>
      <c r="J9" s="140"/>
    </row>
    <row r="10" spans="1:13" ht="15.6" hidden="1" customHeight="1" x14ac:dyDescent="0.3">
      <c r="A10" s="183"/>
      <c r="B10" s="139">
        <v>0</v>
      </c>
      <c r="C10" s="58" t="s">
        <v>178</v>
      </c>
      <c r="D10" s="141">
        <v>0</v>
      </c>
      <c r="E10" s="141">
        <v>0</v>
      </c>
      <c r="F10" s="141">
        <v>0</v>
      </c>
      <c r="G10" s="141">
        <v>0</v>
      </c>
      <c r="H10" s="141">
        <v>0</v>
      </c>
      <c r="I10" s="1">
        <f t="shared" si="0"/>
        <v>0</v>
      </c>
      <c r="J10" s="140"/>
      <c r="M10" s="3"/>
    </row>
    <row r="11" spans="1:13" ht="15.6" hidden="1" customHeight="1" x14ac:dyDescent="0.3">
      <c r="A11" s="183"/>
      <c r="B11" s="139">
        <v>0</v>
      </c>
      <c r="C11" s="58" t="s">
        <v>178</v>
      </c>
      <c r="D11" s="141">
        <v>0</v>
      </c>
      <c r="E11" s="141">
        <v>0</v>
      </c>
      <c r="F11" s="141">
        <v>0</v>
      </c>
      <c r="G11" s="141">
        <v>0</v>
      </c>
      <c r="H11" s="141">
        <v>0</v>
      </c>
      <c r="I11" s="1">
        <f t="shared" si="0"/>
        <v>0</v>
      </c>
      <c r="J11" s="140"/>
      <c r="M11" s="3"/>
    </row>
    <row r="12" spans="1:13" hidden="1" x14ac:dyDescent="0.3">
      <c r="A12" s="183"/>
      <c r="B12" s="139">
        <v>0</v>
      </c>
      <c r="C12" s="58" t="s">
        <v>178</v>
      </c>
      <c r="D12" s="141">
        <v>0</v>
      </c>
      <c r="E12" s="141">
        <v>0</v>
      </c>
      <c r="F12" s="141">
        <v>0</v>
      </c>
      <c r="G12" s="141">
        <v>0</v>
      </c>
      <c r="H12" s="141">
        <v>0</v>
      </c>
      <c r="I12" s="1">
        <f t="shared" si="0"/>
        <v>0</v>
      </c>
      <c r="J12" s="140"/>
    </row>
    <row r="13" spans="1:13" ht="15.6" hidden="1" customHeight="1" x14ac:dyDescent="0.3">
      <c r="A13" s="183"/>
      <c r="B13" s="139">
        <v>0</v>
      </c>
      <c r="C13" s="58" t="s">
        <v>178</v>
      </c>
      <c r="D13" s="141">
        <v>0</v>
      </c>
      <c r="E13" s="141">
        <v>0</v>
      </c>
      <c r="F13" s="141">
        <v>0</v>
      </c>
      <c r="G13" s="141">
        <v>0</v>
      </c>
      <c r="H13" s="141">
        <v>0</v>
      </c>
      <c r="I13" s="1">
        <f t="shared" si="0"/>
        <v>0</v>
      </c>
      <c r="J13" s="140"/>
      <c r="M13" s="3"/>
    </row>
    <row r="14" spans="1:13" s="10" customFormat="1" ht="15.6" customHeight="1" x14ac:dyDescent="0.3">
      <c r="B14" s="4"/>
      <c r="C14" s="4"/>
      <c r="D14" s="4"/>
      <c r="E14" s="4"/>
      <c r="F14" s="4"/>
      <c r="G14" s="4"/>
      <c r="H14" s="4"/>
      <c r="K14" s="322"/>
      <c r="L14" s="322"/>
      <c r="M14" s="322"/>
    </row>
    <row r="15" spans="1:13" ht="15.6" hidden="1" customHeight="1" x14ac:dyDescent="0.3">
      <c r="A15" s="7"/>
      <c r="C15" s="11"/>
      <c r="D15" s="117">
        <f t="shared" ref="D15:H25" si="1">IF(D3&gt;0,(D3*$B3),0)</f>
        <v>0</v>
      </c>
      <c r="E15" s="117">
        <f t="shared" si="1"/>
        <v>0</v>
      </c>
      <c r="F15" s="117">
        <f t="shared" si="1"/>
        <v>0</v>
      </c>
      <c r="G15" s="117">
        <f t="shared" si="1"/>
        <v>0</v>
      </c>
      <c r="H15" s="117">
        <f t="shared" si="1"/>
        <v>0</v>
      </c>
      <c r="I15" s="44"/>
      <c r="J15" s="322"/>
    </row>
    <row r="16" spans="1:13" hidden="1" x14ac:dyDescent="0.3">
      <c r="D16" s="117">
        <f t="shared" si="1"/>
        <v>0</v>
      </c>
      <c r="E16" s="117">
        <f t="shared" si="1"/>
        <v>0</v>
      </c>
      <c r="F16" s="117">
        <f t="shared" si="1"/>
        <v>0</v>
      </c>
      <c r="G16" s="117">
        <f t="shared" si="1"/>
        <v>0</v>
      </c>
      <c r="H16" s="117">
        <f t="shared" si="1"/>
        <v>0</v>
      </c>
      <c r="I16" s="44"/>
    </row>
    <row r="17" spans="2:10" hidden="1" x14ac:dyDescent="0.3">
      <c r="D17" s="117">
        <f t="shared" si="1"/>
        <v>0</v>
      </c>
      <c r="E17" s="117">
        <f t="shared" si="1"/>
        <v>0</v>
      </c>
      <c r="F17" s="117">
        <f t="shared" si="1"/>
        <v>0</v>
      </c>
      <c r="G17" s="117">
        <f t="shared" si="1"/>
        <v>0</v>
      </c>
      <c r="H17" s="117">
        <f t="shared" si="1"/>
        <v>0</v>
      </c>
      <c r="I17" s="44"/>
    </row>
    <row r="18" spans="2:10" hidden="1" x14ac:dyDescent="0.3">
      <c r="D18" s="117">
        <f t="shared" si="1"/>
        <v>0</v>
      </c>
      <c r="E18" s="117">
        <f t="shared" si="1"/>
        <v>0</v>
      </c>
      <c r="F18" s="117">
        <f t="shared" si="1"/>
        <v>0</v>
      </c>
      <c r="G18" s="117">
        <f t="shared" si="1"/>
        <v>0</v>
      </c>
      <c r="H18" s="117">
        <f t="shared" si="1"/>
        <v>0</v>
      </c>
      <c r="I18" s="44"/>
    </row>
    <row r="19" spans="2:10" hidden="1" x14ac:dyDescent="0.3">
      <c r="D19" s="117">
        <f t="shared" si="1"/>
        <v>0</v>
      </c>
      <c r="E19" s="117">
        <f t="shared" si="1"/>
        <v>0</v>
      </c>
      <c r="F19" s="117">
        <f t="shared" si="1"/>
        <v>0</v>
      </c>
      <c r="G19" s="117">
        <f t="shared" si="1"/>
        <v>0</v>
      </c>
      <c r="H19" s="117">
        <f t="shared" si="1"/>
        <v>0</v>
      </c>
      <c r="I19" s="44"/>
    </row>
    <row r="20" spans="2:10" hidden="1" x14ac:dyDescent="0.3">
      <c r="D20" s="117">
        <f t="shared" si="1"/>
        <v>0</v>
      </c>
      <c r="E20" s="117">
        <f t="shared" si="1"/>
        <v>0</v>
      </c>
      <c r="F20" s="117">
        <f t="shared" si="1"/>
        <v>0</v>
      </c>
      <c r="G20" s="117">
        <f t="shared" si="1"/>
        <v>0</v>
      </c>
      <c r="H20" s="117">
        <f t="shared" si="1"/>
        <v>0</v>
      </c>
      <c r="I20" s="44"/>
    </row>
    <row r="21" spans="2:10" hidden="1" x14ac:dyDescent="0.3">
      <c r="D21" s="117">
        <f t="shared" si="1"/>
        <v>0</v>
      </c>
      <c r="E21" s="117">
        <f t="shared" si="1"/>
        <v>0</v>
      </c>
      <c r="F21" s="117">
        <f t="shared" si="1"/>
        <v>0</v>
      </c>
      <c r="G21" s="117">
        <f t="shared" si="1"/>
        <v>0</v>
      </c>
      <c r="H21" s="117">
        <f t="shared" si="1"/>
        <v>0</v>
      </c>
      <c r="I21" s="44"/>
    </row>
    <row r="22" spans="2:10" hidden="1" x14ac:dyDescent="0.3">
      <c r="D22" s="117">
        <f t="shared" si="1"/>
        <v>0</v>
      </c>
      <c r="E22" s="117">
        <f t="shared" si="1"/>
        <v>0</v>
      </c>
      <c r="F22" s="117">
        <f t="shared" si="1"/>
        <v>0</v>
      </c>
      <c r="G22" s="117">
        <f t="shared" si="1"/>
        <v>0</v>
      </c>
      <c r="H22" s="117">
        <f t="shared" si="1"/>
        <v>0</v>
      </c>
      <c r="I22" s="44"/>
    </row>
    <row r="23" spans="2:10" hidden="1" x14ac:dyDescent="0.3">
      <c r="D23" s="117">
        <f t="shared" si="1"/>
        <v>0</v>
      </c>
      <c r="E23" s="117">
        <f t="shared" si="1"/>
        <v>0</v>
      </c>
      <c r="F23" s="117">
        <f t="shared" si="1"/>
        <v>0</v>
      </c>
      <c r="G23" s="117">
        <f t="shared" si="1"/>
        <v>0</v>
      </c>
      <c r="H23" s="117">
        <f t="shared" si="1"/>
        <v>0</v>
      </c>
      <c r="I23" s="44"/>
    </row>
    <row r="24" spans="2:10" hidden="1" x14ac:dyDescent="0.3">
      <c r="D24" s="117">
        <f t="shared" si="1"/>
        <v>0</v>
      </c>
      <c r="E24" s="117">
        <f t="shared" si="1"/>
        <v>0</v>
      </c>
      <c r="F24" s="117">
        <f t="shared" si="1"/>
        <v>0</v>
      </c>
      <c r="G24" s="117">
        <f t="shared" si="1"/>
        <v>0</v>
      </c>
      <c r="H24" s="117">
        <f t="shared" si="1"/>
        <v>0</v>
      </c>
      <c r="I24" s="44"/>
    </row>
    <row r="25" spans="2:10" hidden="1" x14ac:dyDescent="0.3">
      <c r="D25" s="117">
        <f t="shared" si="1"/>
        <v>0</v>
      </c>
      <c r="E25" s="117">
        <f t="shared" si="1"/>
        <v>0</v>
      </c>
      <c r="F25" s="117">
        <f t="shared" si="1"/>
        <v>0</v>
      </c>
      <c r="G25" s="117">
        <f t="shared" si="1"/>
        <v>0</v>
      </c>
      <c r="H25" s="117">
        <f t="shared" si="1"/>
        <v>0</v>
      </c>
      <c r="I25" s="44"/>
    </row>
    <row r="26" spans="2:10" ht="15.6" customHeight="1" x14ac:dyDescent="0.3">
      <c r="B26" s="7" t="s">
        <v>22</v>
      </c>
      <c r="D26" s="116">
        <f>ROUND(SUM(D15:D25),0)</f>
        <v>0</v>
      </c>
      <c r="E26" s="116">
        <f>ROUND(SUM(E15:E25),0)</f>
        <v>0</v>
      </c>
      <c r="F26" s="116">
        <f>ROUND(SUM(F15:F25),0)</f>
        <v>0</v>
      </c>
      <c r="G26" s="116">
        <f>ROUND(SUM(G15:G25),0)</f>
        <v>0</v>
      </c>
      <c r="H26" s="116">
        <f>ROUND(SUM(H15:H25),0)</f>
        <v>0</v>
      </c>
      <c r="I26" s="116">
        <f>ROUND(SUM(D26:H26),0)</f>
        <v>0</v>
      </c>
    </row>
    <row r="27" spans="2:10" x14ac:dyDescent="0.3">
      <c r="J27" s="27"/>
    </row>
    <row r="28" spans="2:10" hidden="1" x14ac:dyDescent="0.3"/>
    <row r="29" spans="2:10" hidden="1" x14ac:dyDescent="0.3">
      <c r="D29" s="117">
        <f t="shared" ref="D29:H39" si="2">IF($C3="Cost Share",D15,0)</f>
        <v>0</v>
      </c>
      <c r="E29" s="117">
        <f t="shared" si="2"/>
        <v>0</v>
      </c>
      <c r="F29" s="117">
        <f t="shared" si="2"/>
        <v>0</v>
      </c>
      <c r="G29" s="117">
        <f t="shared" si="2"/>
        <v>0</v>
      </c>
      <c r="H29" s="117">
        <f t="shared" si="2"/>
        <v>0</v>
      </c>
      <c r="I29" s="44"/>
    </row>
    <row r="30" spans="2:10" hidden="1" x14ac:dyDescent="0.3">
      <c r="D30" s="117">
        <f t="shared" si="2"/>
        <v>0</v>
      </c>
      <c r="E30" s="117">
        <f t="shared" si="2"/>
        <v>0</v>
      </c>
      <c r="F30" s="117">
        <f t="shared" si="2"/>
        <v>0</v>
      </c>
      <c r="G30" s="117">
        <f t="shared" si="2"/>
        <v>0</v>
      </c>
      <c r="H30" s="117">
        <f t="shared" si="2"/>
        <v>0</v>
      </c>
      <c r="I30" s="44"/>
    </row>
    <row r="31" spans="2:10" hidden="1" x14ac:dyDescent="0.3">
      <c r="D31" s="117">
        <f t="shared" si="2"/>
        <v>0</v>
      </c>
      <c r="E31" s="117">
        <f t="shared" si="2"/>
        <v>0</v>
      </c>
      <c r="F31" s="117">
        <f t="shared" si="2"/>
        <v>0</v>
      </c>
      <c r="G31" s="117">
        <f t="shared" si="2"/>
        <v>0</v>
      </c>
      <c r="H31" s="117">
        <f t="shared" si="2"/>
        <v>0</v>
      </c>
      <c r="I31" s="44"/>
    </row>
    <row r="32" spans="2:10" hidden="1" x14ac:dyDescent="0.3">
      <c r="D32" s="117">
        <f t="shared" si="2"/>
        <v>0</v>
      </c>
      <c r="E32" s="117">
        <f t="shared" si="2"/>
        <v>0</v>
      </c>
      <c r="F32" s="117">
        <f t="shared" si="2"/>
        <v>0</v>
      </c>
      <c r="G32" s="117">
        <f t="shared" si="2"/>
        <v>0</v>
      </c>
      <c r="H32" s="117">
        <f t="shared" si="2"/>
        <v>0</v>
      </c>
      <c r="I32" s="44"/>
    </row>
    <row r="33" spans="1:9" hidden="1" x14ac:dyDescent="0.3">
      <c r="D33" s="117">
        <f t="shared" si="2"/>
        <v>0</v>
      </c>
      <c r="E33" s="117">
        <f t="shared" si="2"/>
        <v>0</v>
      </c>
      <c r="F33" s="117">
        <f t="shared" si="2"/>
        <v>0</v>
      </c>
      <c r="G33" s="117">
        <f t="shared" si="2"/>
        <v>0</v>
      </c>
      <c r="H33" s="117">
        <f t="shared" si="2"/>
        <v>0</v>
      </c>
      <c r="I33" s="44"/>
    </row>
    <row r="34" spans="1:9" hidden="1" x14ac:dyDescent="0.3">
      <c r="D34" s="117">
        <f t="shared" si="2"/>
        <v>0</v>
      </c>
      <c r="E34" s="117">
        <f t="shared" si="2"/>
        <v>0</v>
      </c>
      <c r="F34" s="117">
        <f t="shared" si="2"/>
        <v>0</v>
      </c>
      <c r="G34" s="117">
        <f t="shared" si="2"/>
        <v>0</v>
      </c>
      <c r="H34" s="117">
        <f t="shared" si="2"/>
        <v>0</v>
      </c>
      <c r="I34" s="44"/>
    </row>
    <row r="35" spans="1:9" hidden="1" x14ac:dyDescent="0.3">
      <c r="D35" s="117">
        <f t="shared" si="2"/>
        <v>0</v>
      </c>
      <c r="E35" s="117">
        <f t="shared" si="2"/>
        <v>0</v>
      </c>
      <c r="F35" s="117">
        <f t="shared" si="2"/>
        <v>0</v>
      </c>
      <c r="G35" s="117">
        <f t="shared" si="2"/>
        <v>0</v>
      </c>
      <c r="H35" s="117">
        <f t="shared" si="2"/>
        <v>0</v>
      </c>
      <c r="I35" s="44"/>
    </row>
    <row r="36" spans="1:9" hidden="1" x14ac:dyDescent="0.3">
      <c r="D36" s="117">
        <f t="shared" si="2"/>
        <v>0</v>
      </c>
      <c r="E36" s="117">
        <f t="shared" si="2"/>
        <v>0</v>
      </c>
      <c r="F36" s="117">
        <f t="shared" si="2"/>
        <v>0</v>
      </c>
      <c r="G36" s="117">
        <f t="shared" si="2"/>
        <v>0</v>
      </c>
      <c r="H36" s="117">
        <f t="shared" si="2"/>
        <v>0</v>
      </c>
      <c r="I36" s="44"/>
    </row>
    <row r="37" spans="1:9" hidden="1" x14ac:dyDescent="0.3">
      <c r="D37" s="117">
        <f t="shared" si="2"/>
        <v>0</v>
      </c>
      <c r="E37" s="117">
        <f t="shared" si="2"/>
        <v>0</v>
      </c>
      <c r="F37" s="117">
        <f t="shared" si="2"/>
        <v>0</v>
      </c>
      <c r="G37" s="117">
        <f t="shared" si="2"/>
        <v>0</v>
      </c>
      <c r="H37" s="117">
        <f t="shared" si="2"/>
        <v>0</v>
      </c>
      <c r="I37" s="44"/>
    </row>
    <row r="38" spans="1:9" hidden="1" x14ac:dyDescent="0.3">
      <c r="D38" s="117">
        <f t="shared" si="2"/>
        <v>0</v>
      </c>
      <c r="E38" s="117">
        <f t="shared" si="2"/>
        <v>0</v>
      </c>
      <c r="F38" s="117">
        <f t="shared" si="2"/>
        <v>0</v>
      </c>
      <c r="G38" s="117">
        <f t="shared" si="2"/>
        <v>0</v>
      </c>
      <c r="H38" s="117">
        <f t="shared" si="2"/>
        <v>0</v>
      </c>
      <c r="I38" s="44"/>
    </row>
    <row r="39" spans="1:9" hidden="1" x14ac:dyDescent="0.3">
      <c r="D39" s="117">
        <f t="shared" si="2"/>
        <v>0</v>
      </c>
      <c r="E39" s="117">
        <f t="shared" si="2"/>
        <v>0</v>
      </c>
      <c r="F39" s="117">
        <f t="shared" si="2"/>
        <v>0</v>
      </c>
      <c r="G39" s="117">
        <f t="shared" si="2"/>
        <v>0</v>
      </c>
      <c r="H39" s="117">
        <f t="shared" si="2"/>
        <v>0</v>
      </c>
      <c r="I39" s="44"/>
    </row>
    <row r="40" spans="1:9" ht="15.6" customHeight="1" x14ac:dyDescent="0.3">
      <c r="B40" s="7" t="s">
        <v>184</v>
      </c>
      <c r="D40" s="116">
        <f>ROUND(SUM(D29:D39),0)</f>
        <v>0</v>
      </c>
      <c r="E40" s="116">
        <f>ROUND(SUM(E29:E39),0)</f>
        <v>0</v>
      </c>
      <c r="F40" s="116">
        <f>ROUND(SUM(F29:F39),0)</f>
        <v>0</v>
      </c>
      <c r="G40" s="116">
        <f>ROUND(SUM(G29:G39),0)</f>
        <v>0</v>
      </c>
      <c r="H40" s="116">
        <f>ROUND(SUM(H29:H39),0)</f>
        <v>0</v>
      </c>
      <c r="I40" s="116">
        <f>ROUND(SUM(D40:H40),0)</f>
        <v>0</v>
      </c>
    </row>
    <row r="43" spans="1:9" hidden="1" x14ac:dyDescent="0.3">
      <c r="A43" t="s">
        <v>178</v>
      </c>
    </row>
    <row r="44" spans="1:9" hidden="1" x14ac:dyDescent="0.3">
      <c r="A44" t="s">
        <v>176</v>
      </c>
    </row>
    <row r="45" spans="1:9" hidden="1" x14ac:dyDescent="0.3">
      <c r="A45" t="s">
        <v>180</v>
      </c>
    </row>
    <row r="46" spans="1:9" hidden="1" x14ac:dyDescent="0.3">
      <c r="A46" t="s">
        <v>25</v>
      </c>
    </row>
    <row r="48" spans="1:9" hidden="1" x14ac:dyDescent="0.3"/>
    <row r="49" spans="1:1" hidden="1" x14ac:dyDescent="0.3">
      <c r="A49" t="s">
        <v>200</v>
      </c>
    </row>
    <row r="50" spans="1:1" hidden="1" x14ac:dyDescent="0.3">
      <c r="A50" t="s">
        <v>201</v>
      </c>
    </row>
    <row r="51" spans="1:1" hidden="1" x14ac:dyDescent="0.3">
      <c r="A51" t="s">
        <v>202</v>
      </c>
    </row>
    <row r="52" spans="1:1" hidden="1" x14ac:dyDescent="0.3">
      <c r="A52" t="s">
        <v>203</v>
      </c>
    </row>
    <row r="53" spans="1:1" hidden="1" x14ac:dyDescent="0.3">
      <c r="A53" t="s">
        <v>204</v>
      </c>
    </row>
  </sheetData>
  <sheetProtection algorithmName="SHA-512" hashValue="bg0vZWwQwp7mDQxkyFlV2n6nmmcDLQWhwvDWHTSjRGxnQS4uxEhBpDOAZu4PFD7Eu7dRDOgQQqxVZ+3SQ/u0BA==" saltValue="7WU5rcC+9jIvpbaEqxLlsA==" spinCount="100000" sheet="1" objects="1" scenarios="1"/>
  <dataValidations count="2">
    <dataValidation type="list" allowBlank="1" showInputMessage="1" showErrorMessage="1" sqref="C3:C13" xr:uid="{00000000-0002-0000-0B00-000000000000}">
      <formula1>$A$43:$A$46</formula1>
    </dataValidation>
    <dataValidation type="list" allowBlank="1" showInputMessage="1" showErrorMessage="1" sqref="A8:A13" xr:uid="{00000000-0002-0000-0B00-000001000000}">
      <formula1>$A$49:$A$53</formula1>
    </dataValidation>
  </dataValidations>
  <pageMargins left="0.7" right="0.7" top="0.75" bottom="0.75" header="0.3" footer="0.3"/>
  <pageSetup scale="72" orientation="landscape"/>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46"/>
  <sheetViews>
    <sheetView zoomScale="120" zoomScaleNormal="120" workbookViewId="0">
      <selection activeCell="B4" sqref="B4"/>
    </sheetView>
  </sheetViews>
  <sheetFormatPr defaultColWidth="8.6640625" defaultRowHeight="14.4" x14ac:dyDescent="0.3"/>
  <cols>
    <col min="1" max="1" width="33" bestFit="1" customWidth="1"/>
    <col min="2" max="3" width="12.44140625" customWidth="1"/>
    <col min="4" max="8" width="12.6640625" customWidth="1"/>
    <col min="9" max="9" width="15.6640625" customWidth="1"/>
    <col min="10" max="10" width="35.44140625" customWidth="1"/>
    <col min="11" max="13" width="13" hidden="1" customWidth="1"/>
  </cols>
  <sheetData>
    <row r="1" spans="1:13" x14ac:dyDescent="0.3">
      <c r="A1" s="326"/>
    </row>
    <row r="2" spans="1:13" ht="31.2" customHeight="1" x14ac:dyDescent="0.3">
      <c r="A2" s="5" t="s">
        <v>168</v>
      </c>
      <c r="B2" s="6" t="s">
        <v>205</v>
      </c>
      <c r="C2" s="6" t="s">
        <v>170</v>
      </c>
      <c r="D2" s="6" t="s">
        <v>171</v>
      </c>
      <c r="E2" s="6" t="s">
        <v>172</v>
      </c>
      <c r="F2" s="6" t="s">
        <v>173</v>
      </c>
      <c r="G2" s="6" t="s">
        <v>174</v>
      </c>
      <c r="H2" s="6" t="s">
        <v>175</v>
      </c>
      <c r="I2" s="6" t="s">
        <v>20</v>
      </c>
      <c r="J2" s="5" t="s">
        <v>21</v>
      </c>
      <c r="K2" s="12" t="s">
        <v>176</v>
      </c>
      <c r="L2" s="12">
        <v>1</v>
      </c>
      <c r="M2" s="3" t="s">
        <v>177</v>
      </c>
    </row>
    <row r="3" spans="1:13" ht="15.6" customHeight="1" x14ac:dyDescent="0.3">
      <c r="A3" s="58"/>
      <c r="B3" s="361">
        <v>0</v>
      </c>
      <c r="C3" s="58"/>
      <c r="D3" s="383">
        <v>0</v>
      </c>
      <c r="E3" s="383"/>
      <c r="F3" s="383">
        <v>0</v>
      </c>
      <c r="G3" s="383">
        <v>0</v>
      </c>
      <c r="H3" s="383">
        <v>0</v>
      </c>
      <c r="I3" s="1">
        <f>D15+E15+F15+G15+H15</f>
        <v>0</v>
      </c>
      <c r="J3" s="140"/>
      <c r="K3" s="12" t="s">
        <v>178</v>
      </c>
      <c r="L3" s="12">
        <v>2</v>
      </c>
      <c r="M3" s="3" t="s">
        <v>179</v>
      </c>
    </row>
    <row r="4" spans="1:13" ht="15.6" customHeight="1" x14ac:dyDescent="0.3">
      <c r="A4" s="58"/>
      <c r="B4" s="361">
        <v>0</v>
      </c>
      <c r="C4" s="58"/>
      <c r="D4" s="383">
        <v>0</v>
      </c>
      <c r="E4" s="383">
        <v>0</v>
      </c>
      <c r="F4" s="383">
        <v>0</v>
      </c>
      <c r="G4" s="383">
        <v>0</v>
      </c>
      <c r="H4" s="383">
        <v>0</v>
      </c>
      <c r="I4" s="1">
        <f>D16+E16+F16+G16+H16</f>
        <v>0</v>
      </c>
      <c r="J4" s="140"/>
      <c r="K4" s="12" t="s">
        <v>180</v>
      </c>
      <c r="L4" s="12">
        <v>3</v>
      </c>
      <c r="M4" s="3" t="s">
        <v>181</v>
      </c>
    </row>
    <row r="5" spans="1:13" ht="15.6" customHeight="1" x14ac:dyDescent="0.3">
      <c r="A5" s="58"/>
      <c r="B5" s="361">
        <v>0</v>
      </c>
      <c r="C5" s="58"/>
      <c r="D5" s="383">
        <v>0</v>
      </c>
      <c r="E5" s="383">
        <v>0</v>
      </c>
      <c r="F5" s="383">
        <v>0</v>
      </c>
      <c r="G5" s="383">
        <v>0</v>
      </c>
      <c r="H5" s="383">
        <v>0</v>
      </c>
      <c r="I5" s="1">
        <f>ROUND(IF(B5=0,0,(B5*(D5+E5+F5+G5+H5))),0)</f>
        <v>0</v>
      </c>
      <c r="J5" s="140"/>
      <c r="L5" s="12">
        <v>4</v>
      </c>
      <c r="M5" s="3" t="s">
        <v>182</v>
      </c>
    </row>
    <row r="6" spans="1:13" ht="15.6" customHeight="1" x14ac:dyDescent="0.3">
      <c r="A6" s="58"/>
      <c r="B6" s="361">
        <v>0</v>
      </c>
      <c r="C6" s="58"/>
      <c r="D6" s="383">
        <v>0</v>
      </c>
      <c r="E6" s="383">
        <v>0</v>
      </c>
      <c r="F6" s="383">
        <v>0</v>
      </c>
      <c r="G6" s="383">
        <v>0</v>
      </c>
      <c r="H6" s="383">
        <v>0</v>
      </c>
      <c r="I6" s="1">
        <f>ROUND(IF(B6=0,0,(B6*(D6+E6+F6+G6+H6))),0)</f>
        <v>0</v>
      </c>
      <c r="J6" s="140"/>
      <c r="L6" s="12">
        <v>5</v>
      </c>
      <c r="M6" s="3"/>
    </row>
    <row r="7" spans="1:13" ht="15.6" customHeight="1" x14ac:dyDescent="0.3">
      <c r="A7" s="58"/>
      <c r="B7" s="361">
        <v>0</v>
      </c>
      <c r="C7" s="58"/>
      <c r="D7" s="383">
        <v>0</v>
      </c>
      <c r="E7" s="383">
        <v>0</v>
      </c>
      <c r="F7" s="383">
        <v>0</v>
      </c>
      <c r="G7" s="383">
        <v>0</v>
      </c>
      <c r="H7" s="383">
        <v>0</v>
      </c>
      <c r="I7" s="1">
        <f>ROUND(IF(B7=0,0,(B7*(D7+E7+F7+G7+H7))),0)</f>
        <v>0</v>
      </c>
      <c r="J7" s="140"/>
      <c r="L7" s="12" t="s">
        <v>183</v>
      </c>
      <c r="M7" s="3"/>
    </row>
    <row r="8" spans="1:13" ht="15.6" customHeight="1" x14ac:dyDescent="0.3">
      <c r="A8" s="374" t="s">
        <v>206</v>
      </c>
      <c r="B8" s="375">
        <v>0</v>
      </c>
      <c r="C8" s="58"/>
      <c r="D8" s="383">
        <v>0</v>
      </c>
      <c r="E8" s="383">
        <v>0</v>
      </c>
      <c r="F8" s="383">
        <v>0</v>
      </c>
      <c r="G8" s="383">
        <v>0</v>
      </c>
      <c r="H8" s="383">
        <v>0</v>
      </c>
      <c r="I8" s="1">
        <f>ROUND(IF(B8=0,0,(B8*(D8+E8+F8+G8+H8))),0)</f>
        <v>0</v>
      </c>
      <c r="J8" s="140"/>
    </row>
    <row r="9" spans="1:13" ht="15.6" customHeight="1" x14ac:dyDescent="0.3">
      <c r="A9" s="374"/>
      <c r="B9" s="375">
        <v>0</v>
      </c>
      <c r="C9" s="58"/>
      <c r="D9" s="383">
        <v>0</v>
      </c>
      <c r="E9" s="383">
        <v>0</v>
      </c>
      <c r="F9" s="383">
        <v>0</v>
      </c>
      <c r="G9" s="383">
        <v>0</v>
      </c>
      <c r="H9" s="383">
        <v>0</v>
      </c>
      <c r="I9" s="1">
        <f>IF(B9=0,0,(B9*(D9+E9+F9+G9+H9)))</f>
        <v>0</v>
      </c>
      <c r="J9" s="140"/>
    </row>
    <row r="10" spans="1:13" ht="15.6" customHeight="1" x14ac:dyDescent="0.3">
      <c r="A10" s="374"/>
      <c r="B10" s="375">
        <v>0</v>
      </c>
      <c r="C10" s="58"/>
      <c r="D10" s="383">
        <v>0</v>
      </c>
      <c r="E10" s="383">
        <v>0</v>
      </c>
      <c r="F10" s="383">
        <v>0</v>
      </c>
      <c r="G10" s="383">
        <v>0</v>
      </c>
      <c r="H10" s="383">
        <v>0</v>
      </c>
      <c r="I10" s="1">
        <f>IF(B10=0,0,(B10*(D10+E10+F10+G10+H10)))</f>
        <v>0</v>
      </c>
      <c r="J10" s="140"/>
      <c r="M10" s="3"/>
    </row>
    <row r="11" spans="1:13" ht="15.6" customHeight="1" x14ac:dyDescent="0.3">
      <c r="A11" s="374"/>
      <c r="B11" s="375">
        <v>0</v>
      </c>
      <c r="C11" s="58"/>
      <c r="D11" s="383">
        <v>0</v>
      </c>
      <c r="E11" s="383">
        <v>0</v>
      </c>
      <c r="F11" s="383">
        <v>0</v>
      </c>
      <c r="G11" s="383">
        <v>0</v>
      </c>
      <c r="H11" s="383">
        <v>0</v>
      </c>
      <c r="I11" s="1">
        <f>IF(B11=0,0,(B11*(D11+E11+F11+G11+H11)))</f>
        <v>0</v>
      </c>
      <c r="J11" s="140"/>
      <c r="M11" s="3"/>
    </row>
    <row r="12" spans="1:13" ht="15.6" customHeight="1" x14ac:dyDescent="0.3">
      <c r="A12" s="374"/>
      <c r="B12" s="375">
        <v>0</v>
      </c>
      <c r="C12" s="58"/>
      <c r="D12" s="383">
        <v>0</v>
      </c>
      <c r="E12" s="383">
        <v>0</v>
      </c>
      <c r="F12" s="383">
        <v>0</v>
      </c>
      <c r="G12" s="383">
        <v>0</v>
      </c>
      <c r="H12" s="383">
        <v>0</v>
      </c>
      <c r="I12" s="1">
        <f>IF(B12=0,0,(B12*(D12+E12+F12+G12+H12)))</f>
        <v>0</v>
      </c>
      <c r="J12" s="140"/>
    </row>
    <row r="13" spans="1:13" ht="15.6" customHeight="1" x14ac:dyDescent="0.3">
      <c r="A13" s="374"/>
      <c r="B13" s="375">
        <v>0</v>
      </c>
      <c r="C13" s="58"/>
      <c r="D13" s="383">
        <v>0</v>
      </c>
      <c r="E13" s="383">
        <v>0</v>
      </c>
      <c r="F13" s="383">
        <v>0</v>
      </c>
      <c r="G13" s="383">
        <v>0</v>
      </c>
      <c r="H13" s="383">
        <v>0</v>
      </c>
      <c r="I13" s="1">
        <f>IF(B13=0,0,(B13*(D13+E13+F13+G13+H13)))</f>
        <v>0</v>
      </c>
      <c r="J13" s="140"/>
      <c r="M13" s="3"/>
    </row>
    <row r="14" spans="1:13" s="10" customFormat="1" ht="15.6" customHeight="1" x14ac:dyDescent="0.3">
      <c r="B14" s="4"/>
      <c r="C14" s="4"/>
      <c r="D14" s="4"/>
      <c r="E14" s="4"/>
      <c r="F14" s="4"/>
      <c r="G14" s="4"/>
      <c r="H14" s="4"/>
      <c r="K14" s="322"/>
      <c r="L14" s="322"/>
      <c r="M14" s="322"/>
    </row>
    <row r="15" spans="1:13" ht="15.6" hidden="1" customHeight="1" x14ac:dyDescent="0.3">
      <c r="A15" s="7"/>
      <c r="C15" s="11"/>
      <c r="D15" s="117">
        <f t="shared" ref="D15:D25" si="0">IF(D3&gt;0,(D3*$B3),0)</f>
        <v>0</v>
      </c>
      <c r="E15" s="117">
        <f t="shared" ref="E15:E25" si="1">IF(E3&gt;0,(E3*$B3*1.05),0)</f>
        <v>0</v>
      </c>
      <c r="F15" s="117">
        <f t="shared" ref="F15:F25" si="2">IF(F3&gt;0,(F3*$B3*1.05^2),0)</f>
        <v>0</v>
      </c>
      <c r="G15" s="117">
        <f t="shared" ref="G15:G25" si="3">IF(G3&gt;0,(G3*$B3*1.05^3),0)</f>
        <v>0</v>
      </c>
      <c r="H15" s="117">
        <f t="shared" ref="H15:H25" si="4">IF(H3&gt;0,(H3*$B3*1.05^4),0)</f>
        <v>0</v>
      </c>
      <c r="I15" s="44"/>
      <c r="J15" s="322"/>
    </row>
    <row r="16" spans="1:13" hidden="1" x14ac:dyDescent="0.3">
      <c r="D16" s="117">
        <f t="shared" si="0"/>
        <v>0</v>
      </c>
      <c r="E16" s="117">
        <f t="shared" si="1"/>
        <v>0</v>
      </c>
      <c r="F16" s="117">
        <f t="shared" si="2"/>
        <v>0</v>
      </c>
      <c r="G16" s="117">
        <f t="shared" si="3"/>
        <v>0</v>
      </c>
      <c r="H16" s="117">
        <f t="shared" si="4"/>
        <v>0</v>
      </c>
      <c r="I16" s="44"/>
    </row>
    <row r="17" spans="2:9" hidden="1" x14ac:dyDescent="0.3">
      <c r="D17" s="117">
        <f t="shared" si="0"/>
        <v>0</v>
      </c>
      <c r="E17" s="117">
        <f t="shared" si="1"/>
        <v>0</v>
      </c>
      <c r="F17" s="117">
        <f t="shared" si="2"/>
        <v>0</v>
      </c>
      <c r="G17" s="117">
        <f t="shared" si="3"/>
        <v>0</v>
      </c>
      <c r="H17" s="117">
        <f t="shared" si="4"/>
        <v>0</v>
      </c>
      <c r="I17" s="44"/>
    </row>
    <row r="18" spans="2:9" hidden="1" x14ac:dyDescent="0.3">
      <c r="D18" s="117">
        <f t="shared" si="0"/>
        <v>0</v>
      </c>
      <c r="E18" s="117">
        <f t="shared" si="1"/>
        <v>0</v>
      </c>
      <c r="F18" s="117">
        <f t="shared" si="2"/>
        <v>0</v>
      </c>
      <c r="G18" s="117">
        <f t="shared" si="3"/>
        <v>0</v>
      </c>
      <c r="H18" s="117">
        <f t="shared" si="4"/>
        <v>0</v>
      </c>
      <c r="I18" s="44"/>
    </row>
    <row r="19" spans="2:9" hidden="1" x14ac:dyDescent="0.3">
      <c r="D19" s="117">
        <f t="shared" si="0"/>
        <v>0</v>
      </c>
      <c r="E19" s="117">
        <f t="shared" si="1"/>
        <v>0</v>
      </c>
      <c r="F19" s="117">
        <f t="shared" si="2"/>
        <v>0</v>
      </c>
      <c r="G19" s="117">
        <f t="shared" si="3"/>
        <v>0</v>
      </c>
      <c r="H19" s="117">
        <f t="shared" si="4"/>
        <v>0</v>
      </c>
      <c r="I19" s="44"/>
    </row>
    <row r="20" spans="2:9" hidden="1" x14ac:dyDescent="0.3">
      <c r="D20" s="117">
        <f t="shared" si="0"/>
        <v>0</v>
      </c>
      <c r="E20" s="117">
        <f t="shared" si="1"/>
        <v>0</v>
      </c>
      <c r="F20" s="117">
        <f t="shared" si="2"/>
        <v>0</v>
      </c>
      <c r="G20" s="117">
        <f t="shared" si="3"/>
        <v>0</v>
      </c>
      <c r="H20" s="117">
        <f t="shared" si="4"/>
        <v>0</v>
      </c>
      <c r="I20" s="44"/>
    </row>
    <row r="21" spans="2:9" hidden="1" x14ac:dyDescent="0.3">
      <c r="D21" s="117">
        <f t="shared" si="0"/>
        <v>0</v>
      </c>
      <c r="E21" s="117">
        <f t="shared" si="1"/>
        <v>0</v>
      </c>
      <c r="F21" s="117">
        <f t="shared" si="2"/>
        <v>0</v>
      </c>
      <c r="G21" s="117">
        <f t="shared" si="3"/>
        <v>0</v>
      </c>
      <c r="H21" s="117">
        <f t="shared" si="4"/>
        <v>0</v>
      </c>
      <c r="I21" s="44"/>
    </row>
    <row r="22" spans="2:9" hidden="1" x14ac:dyDescent="0.3">
      <c r="D22" s="117">
        <f t="shared" si="0"/>
        <v>0</v>
      </c>
      <c r="E22" s="117">
        <f t="shared" si="1"/>
        <v>0</v>
      </c>
      <c r="F22" s="117">
        <f t="shared" si="2"/>
        <v>0</v>
      </c>
      <c r="G22" s="117">
        <f t="shared" si="3"/>
        <v>0</v>
      </c>
      <c r="H22" s="117">
        <f t="shared" si="4"/>
        <v>0</v>
      </c>
      <c r="I22" s="44"/>
    </row>
    <row r="23" spans="2:9" hidden="1" x14ac:dyDescent="0.3">
      <c r="D23" s="117">
        <f t="shared" si="0"/>
        <v>0</v>
      </c>
      <c r="E23" s="117">
        <f t="shared" si="1"/>
        <v>0</v>
      </c>
      <c r="F23" s="117">
        <f t="shared" si="2"/>
        <v>0</v>
      </c>
      <c r="G23" s="117">
        <f t="shared" si="3"/>
        <v>0</v>
      </c>
      <c r="H23" s="117">
        <f t="shared" si="4"/>
        <v>0</v>
      </c>
      <c r="I23" s="44"/>
    </row>
    <row r="24" spans="2:9" hidden="1" x14ac:dyDescent="0.3">
      <c r="D24" s="117">
        <f t="shared" si="0"/>
        <v>0</v>
      </c>
      <c r="E24" s="117">
        <f t="shared" si="1"/>
        <v>0</v>
      </c>
      <c r="F24" s="117">
        <f t="shared" si="2"/>
        <v>0</v>
      </c>
      <c r="G24" s="117">
        <f t="shared" si="3"/>
        <v>0</v>
      </c>
      <c r="H24" s="117">
        <f t="shared" si="4"/>
        <v>0</v>
      </c>
      <c r="I24" s="44"/>
    </row>
    <row r="25" spans="2:9" hidden="1" x14ac:dyDescent="0.3">
      <c r="D25" s="117">
        <f t="shared" si="0"/>
        <v>0</v>
      </c>
      <c r="E25" s="117">
        <f t="shared" si="1"/>
        <v>0</v>
      </c>
      <c r="F25" s="117">
        <f t="shared" si="2"/>
        <v>0</v>
      </c>
      <c r="G25" s="117">
        <f t="shared" si="3"/>
        <v>0</v>
      </c>
      <c r="H25" s="117">
        <f t="shared" si="4"/>
        <v>0</v>
      </c>
      <c r="I25" s="44"/>
    </row>
    <row r="26" spans="2:9" ht="15.6" customHeight="1" x14ac:dyDescent="0.3">
      <c r="B26" s="7" t="s">
        <v>22</v>
      </c>
      <c r="D26" s="116">
        <f>ROUND(SUM(D15:D25),0)</f>
        <v>0</v>
      </c>
      <c r="E26" s="116">
        <f>ROUND(SUM(E15:E25),0)</f>
        <v>0</v>
      </c>
      <c r="F26" s="116">
        <f>ROUND(SUM(F15:F25),0)</f>
        <v>0</v>
      </c>
      <c r="G26" s="116">
        <f>ROUND(SUM(G15:G25),0)</f>
        <v>0</v>
      </c>
      <c r="H26" s="116">
        <f>ROUND(SUM(H15:H25),0)</f>
        <v>0</v>
      </c>
      <c r="I26" s="116">
        <f>ROUND(SUM(D26:H26),0)</f>
        <v>0</v>
      </c>
    </row>
    <row r="28" spans="2:9" hidden="1" x14ac:dyDescent="0.3"/>
    <row r="29" spans="2:9" hidden="1" x14ac:dyDescent="0.3">
      <c r="D29" s="117">
        <f t="shared" ref="D29:D39" si="5">IF($C3="Cost Share",D15,0)</f>
        <v>0</v>
      </c>
      <c r="E29" s="117">
        <f t="shared" ref="E29:E39" si="6">IF($C3="Cost Share",(E3*$B3*1.05),0)</f>
        <v>0</v>
      </c>
      <c r="F29" s="117">
        <f t="shared" ref="F29:F39" si="7">IF($C3="Cost Share",(F3*$B3*1.05^2),0)</f>
        <v>0</v>
      </c>
      <c r="G29" s="117">
        <f t="shared" ref="G29:G39" si="8">IF($C3="Cost Share",(G3*$B3*1.05^3),0)</f>
        <v>0</v>
      </c>
      <c r="H29" s="117">
        <f t="shared" ref="H29:H39" si="9">IF($C3="Cost Share",(H3*$B3*1.05^4),0)</f>
        <v>0</v>
      </c>
      <c r="I29" s="44"/>
    </row>
    <row r="30" spans="2:9" hidden="1" x14ac:dyDescent="0.3">
      <c r="D30" s="117">
        <f t="shared" si="5"/>
        <v>0</v>
      </c>
      <c r="E30" s="117">
        <f t="shared" si="6"/>
        <v>0</v>
      </c>
      <c r="F30" s="117">
        <f t="shared" si="7"/>
        <v>0</v>
      </c>
      <c r="G30" s="117">
        <f t="shared" si="8"/>
        <v>0</v>
      </c>
      <c r="H30" s="117">
        <f t="shared" si="9"/>
        <v>0</v>
      </c>
      <c r="I30" s="44"/>
    </row>
    <row r="31" spans="2:9" hidden="1" x14ac:dyDescent="0.3">
      <c r="D31" s="117">
        <f t="shared" si="5"/>
        <v>0</v>
      </c>
      <c r="E31" s="117">
        <f t="shared" si="6"/>
        <v>0</v>
      </c>
      <c r="F31" s="117">
        <f t="shared" si="7"/>
        <v>0</v>
      </c>
      <c r="G31" s="117">
        <f t="shared" si="8"/>
        <v>0</v>
      </c>
      <c r="H31" s="117">
        <f t="shared" si="9"/>
        <v>0</v>
      </c>
      <c r="I31" s="44"/>
    </row>
    <row r="32" spans="2:9" hidden="1" x14ac:dyDescent="0.3">
      <c r="D32" s="117">
        <f t="shared" si="5"/>
        <v>0</v>
      </c>
      <c r="E32" s="117">
        <f t="shared" si="6"/>
        <v>0</v>
      </c>
      <c r="F32" s="117">
        <f t="shared" si="7"/>
        <v>0</v>
      </c>
      <c r="G32" s="117">
        <f t="shared" si="8"/>
        <v>0</v>
      </c>
      <c r="H32" s="117">
        <f t="shared" si="9"/>
        <v>0</v>
      </c>
      <c r="I32" s="44"/>
    </row>
    <row r="33" spans="1:9" hidden="1" x14ac:dyDescent="0.3">
      <c r="D33" s="117">
        <f t="shared" si="5"/>
        <v>0</v>
      </c>
      <c r="E33" s="117">
        <f t="shared" si="6"/>
        <v>0</v>
      </c>
      <c r="F33" s="117">
        <f t="shared" si="7"/>
        <v>0</v>
      </c>
      <c r="G33" s="117">
        <f t="shared" si="8"/>
        <v>0</v>
      </c>
      <c r="H33" s="117">
        <f t="shared" si="9"/>
        <v>0</v>
      </c>
      <c r="I33" s="44"/>
    </row>
    <row r="34" spans="1:9" hidden="1" x14ac:dyDescent="0.3">
      <c r="D34" s="117">
        <f t="shared" si="5"/>
        <v>0</v>
      </c>
      <c r="E34" s="117">
        <f t="shared" si="6"/>
        <v>0</v>
      </c>
      <c r="F34" s="117">
        <f t="shared" si="7"/>
        <v>0</v>
      </c>
      <c r="G34" s="117">
        <f t="shared" si="8"/>
        <v>0</v>
      </c>
      <c r="H34" s="117">
        <f t="shared" si="9"/>
        <v>0</v>
      </c>
      <c r="I34" s="44"/>
    </row>
    <row r="35" spans="1:9" hidden="1" x14ac:dyDescent="0.3">
      <c r="D35" s="117">
        <f t="shared" si="5"/>
        <v>0</v>
      </c>
      <c r="E35" s="117">
        <f t="shared" si="6"/>
        <v>0</v>
      </c>
      <c r="F35" s="117">
        <f t="shared" si="7"/>
        <v>0</v>
      </c>
      <c r="G35" s="117">
        <f t="shared" si="8"/>
        <v>0</v>
      </c>
      <c r="H35" s="117">
        <f t="shared" si="9"/>
        <v>0</v>
      </c>
      <c r="I35" s="44"/>
    </row>
    <row r="36" spans="1:9" hidden="1" x14ac:dyDescent="0.3">
      <c r="D36" s="117">
        <f t="shared" si="5"/>
        <v>0</v>
      </c>
      <c r="E36" s="117">
        <f t="shared" si="6"/>
        <v>0</v>
      </c>
      <c r="F36" s="117">
        <f t="shared" si="7"/>
        <v>0</v>
      </c>
      <c r="G36" s="117">
        <f t="shared" si="8"/>
        <v>0</v>
      </c>
      <c r="H36" s="117">
        <f t="shared" si="9"/>
        <v>0</v>
      </c>
      <c r="I36" s="44"/>
    </row>
    <row r="37" spans="1:9" hidden="1" x14ac:dyDescent="0.3">
      <c r="D37" s="117">
        <f t="shared" si="5"/>
        <v>0</v>
      </c>
      <c r="E37" s="117">
        <f t="shared" si="6"/>
        <v>0</v>
      </c>
      <c r="F37" s="117">
        <f t="shared" si="7"/>
        <v>0</v>
      </c>
      <c r="G37" s="117">
        <f t="shared" si="8"/>
        <v>0</v>
      </c>
      <c r="H37" s="117">
        <f t="shared" si="9"/>
        <v>0</v>
      </c>
      <c r="I37" s="44"/>
    </row>
    <row r="38" spans="1:9" hidden="1" x14ac:dyDescent="0.3">
      <c r="D38" s="117">
        <f t="shared" si="5"/>
        <v>0</v>
      </c>
      <c r="E38" s="117">
        <f t="shared" si="6"/>
        <v>0</v>
      </c>
      <c r="F38" s="117">
        <f t="shared" si="7"/>
        <v>0</v>
      </c>
      <c r="G38" s="117">
        <f t="shared" si="8"/>
        <v>0</v>
      </c>
      <c r="H38" s="117">
        <f t="shared" si="9"/>
        <v>0</v>
      </c>
      <c r="I38" s="44"/>
    </row>
    <row r="39" spans="1:9" hidden="1" x14ac:dyDescent="0.3">
      <c r="D39" s="117">
        <f t="shared" si="5"/>
        <v>0</v>
      </c>
      <c r="E39" s="117">
        <f t="shared" si="6"/>
        <v>0</v>
      </c>
      <c r="F39" s="117">
        <f t="shared" si="7"/>
        <v>0</v>
      </c>
      <c r="G39" s="117">
        <f t="shared" si="8"/>
        <v>0</v>
      </c>
      <c r="H39" s="117">
        <f t="shared" si="9"/>
        <v>0</v>
      </c>
      <c r="I39" s="44"/>
    </row>
    <row r="40" spans="1:9" ht="15.6" customHeight="1" x14ac:dyDescent="0.3">
      <c r="B40" s="7" t="s">
        <v>184</v>
      </c>
      <c r="D40" s="116">
        <f>ROUND(SUM(D29:D39),0)</f>
        <v>0</v>
      </c>
      <c r="E40" s="116">
        <f>ROUND(SUM(E29:E39),0)</f>
        <v>0</v>
      </c>
      <c r="F40" s="116">
        <f>ROUND(SUM(F29:F39),0)</f>
        <v>0</v>
      </c>
      <c r="G40" s="116">
        <f>ROUND(SUM(G29:G39),0)</f>
        <v>0</v>
      </c>
      <c r="H40" s="116">
        <f>ROUND(SUM(H29:H39),0)</f>
        <v>0</v>
      </c>
      <c r="I40" s="116">
        <f>ROUND(SUM(D40:H40),0)</f>
        <v>0</v>
      </c>
    </row>
    <row r="43" spans="1:9" hidden="1" x14ac:dyDescent="0.3">
      <c r="A43" t="s">
        <v>178</v>
      </c>
    </row>
    <row r="44" spans="1:9" hidden="1" x14ac:dyDescent="0.3">
      <c r="A44" t="s">
        <v>176</v>
      </c>
    </row>
    <row r="45" spans="1:9" hidden="1" x14ac:dyDescent="0.3">
      <c r="A45" t="s">
        <v>180</v>
      </c>
    </row>
    <row r="46" spans="1:9" hidden="1" x14ac:dyDescent="0.3">
      <c r="A46" t="s">
        <v>25</v>
      </c>
    </row>
  </sheetData>
  <dataValidations count="3">
    <dataValidation type="list" allowBlank="1" showInputMessage="1" showErrorMessage="1" sqref="C3:C13" xr:uid="{00000000-0002-0000-0C00-000000000000}">
      <formula1>$A$43:$A$46</formula1>
    </dataValidation>
    <dataValidation allowBlank="1" showInputMessage="1" showErrorMessage="1" promptTitle="Student Stipend" prompt="Use this field for Student stipends that do not fall under Participant Support" sqref="A8:A13" xr:uid="{00000000-0002-0000-0C00-000001000000}"/>
    <dataValidation allowBlank="1" showInputMessage="1" showErrorMessage="1" promptTitle="Total Semesters Requested" prompt="Enter the total number of semesters requested per year. The tuition costs for Years 2-5 are escalated at 5% per year for budgeting purposes._x000a__x000a_Example - 4 students @ 2 semesters each = 8 semesters" sqref="D3:H13" xr:uid="{00000000-0002-0000-0C00-000002000000}"/>
  </dataValidations>
  <pageMargins left="0.7" right="0.7" top="0.75" bottom="0.75" header="0.3" footer="0.3"/>
  <pageSetup scale="70"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46"/>
  <sheetViews>
    <sheetView zoomScale="120" zoomScaleNormal="120" workbookViewId="0">
      <selection activeCell="B3" sqref="B3"/>
    </sheetView>
  </sheetViews>
  <sheetFormatPr defaultColWidth="8.6640625" defaultRowHeight="14.4" x14ac:dyDescent="0.3"/>
  <cols>
    <col min="1" max="1" width="25.44140625" customWidth="1"/>
    <col min="2" max="9" width="12.44140625" customWidth="1"/>
    <col min="10" max="10" width="35.44140625" customWidth="1"/>
    <col min="11" max="13" width="13" hidden="1" customWidth="1"/>
  </cols>
  <sheetData>
    <row r="1" spans="1:13" x14ac:dyDescent="0.3">
      <c r="A1" s="326"/>
    </row>
    <row r="2" spans="1:13" ht="46.95" customHeight="1" x14ac:dyDescent="0.3">
      <c r="A2" s="5" t="s">
        <v>168</v>
      </c>
      <c r="B2" s="6" t="s">
        <v>169</v>
      </c>
      <c r="C2" s="6" t="s">
        <v>170</v>
      </c>
      <c r="D2" s="6" t="s">
        <v>171</v>
      </c>
      <c r="E2" s="6" t="s">
        <v>172</v>
      </c>
      <c r="F2" s="6" t="s">
        <v>173</v>
      </c>
      <c r="G2" s="6" t="s">
        <v>174</v>
      </c>
      <c r="H2" s="6" t="s">
        <v>175</v>
      </c>
      <c r="I2" s="6" t="s">
        <v>20</v>
      </c>
      <c r="J2" s="5" t="s">
        <v>21</v>
      </c>
      <c r="K2" s="12" t="s">
        <v>176</v>
      </c>
      <c r="L2" s="12">
        <v>1</v>
      </c>
      <c r="M2" s="3" t="s">
        <v>177</v>
      </c>
    </row>
    <row r="3" spans="1:13" ht="15.6" customHeight="1" x14ac:dyDescent="0.3">
      <c r="A3" s="140"/>
      <c r="B3" s="139">
        <v>0</v>
      </c>
      <c r="C3" s="58" t="s">
        <v>178</v>
      </c>
      <c r="D3" s="141">
        <v>0</v>
      </c>
      <c r="E3" s="141">
        <v>0</v>
      </c>
      <c r="F3" s="141">
        <v>0</v>
      </c>
      <c r="G3" s="141">
        <v>0</v>
      </c>
      <c r="H3" s="141">
        <v>0</v>
      </c>
      <c r="I3" s="1">
        <f t="shared" ref="I3:I13" si="0">ROUND(B3*(D3+E3+F3+G3+H3),0)</f>
        <v>0</v>
      </c>
      <c r="J3" s="140"/>
      <c r="K3" s="12" t="s">
        <v>178</v>
      </c>
      <c r="L3" s="12">
        <v>2</v>
      </c>
      <c r="M3" s="3" t="s">
        <v>179</v>
      </c>
    </row>
    <row r="4" spans="1:13" ht="15.6" customHeight="1" x14ac:dyDescent="0.3">
      <c r="A4" s="140"/>
      <c r="B4" s="139">
        <v>0</v>
      </c>
      <c r="C4" s="58" t="s">
        <v>178</v>
      </c>
      <c r="D4" s="141">
        <v>0</v>
      </c>
      <c r="E4" s="141">
        <v>0</v>
      </c>
      <c r="F4" s="141">
        <v>0</v>
      </c>
      <c r="G4" s="141">
        <v>0</v>
      </c>
      <c r="H4" s="141">
        <v>0</v>
      </c>
      <c r="I4" s="1">
        <f t="shared" si="0"/>
        <v>0</v>
      </c>
      <c r="J4" s="140"/>
      <c r="K4" s="12" t="s">
        <v>180</v>
      </c>
      <c r="L4" s="12">
        <v>3</v>
      </c>
      <c r="M4" s="3" t="s">
        <v>181</v>
      </c>
    </row>
    <row r="5" spans="1:13" ht="15.6" customHeight="1" x14ac:dyDescent="0.3">
      <c r="A5" s="140"/>
      <c r="B5" s="139">
        <v>0</v>
      </c>
      <c r="C5" s="58" t="s">
        <v>178</v>
      </c>
      <c r="D5" s="141">
        <v>0</v>
      </c>
      <c r="E5" s="141">
        <v>0</v>
      </c>
      <c r="F5" s="141">
        <v>0</v>
      </c>
      <c r="G5" s="141">
        <v>0</v>
      </c>
      <c r="H5" s="141">
        <v>0</v>
      </c>
      <c r="I5" s="1">
        <f t="shared" si="0"/>
        <v>0</v>
      </c>
      <c r="J5" s="140"/>
      <c r="L5" s="12">
        <v>4</v>
      </c>
      <c r="M5" s="3" t="s">
        <v>182</v>
      </c>
    </row>
    <row r="6" spans="1:13" ht="15.6" customHeight="1" x14ac:dyDescent="0.3">
      <c r="A6" s="140"/>
      <c r="B6" s="139">
        <v>0</v>
      </c>
      <c r="C6" s="58" t="s">
        <v>178</v>
      </c>
      <c r="D6" s="141">
        <v>0</v>
      </c>
      <c r="E6" s="141">
        <v>0</v>
      </c>
      <c r="F6" s="141">
        <v>0</v>
      </c>
      <c r="G6" s="141">
        <v>0</v>
      </c>
      <c r="H6" s="141">
        <v>0</v>
      </c>
      <c r="I6" s="1">
        <f t="shared" si="0"/>
        <v>0</v>
      </c>
      <c r="J6" s="140"/>
      <c r="L6" s="12">
        <v>5</v>
      </c>
      <c r="M6" s="3"/>
    </row>
    <row r="7" spans="1:13" ht="15.6" customHeight="1" x14ac:dyDescent="0.3">
      <c r="A7" s="140"/>
      <c r="B7" s="139">
        <v>0</v>
      </c>
      <c r="C7" s="58" t="s">
        <v>178</v>
      </c>
      <c r="D7" s="141">
        <v>0</v>
      </c>
      <c r="E7" s="141">
        <v>0</v>
      </c>
      <c r="F7" s="141">
        <v>0</v>
      </c>
      <c r="G7" s="141">
        <v>0</v>
      </c>
      <c r="H7" s="141">
        <v>0</v>
      </c>
      <c r="I7" s="1">
        <f t="shared" si="0"/>
        <v>0</v>
      </c>
      <c r="J7" s="140"/>
      <c r="L7" s="12" t="s">
        <v>183</v>
      </c>
      <c r="M7" s="3"/>
    </row>
    <row r="8" spans="1:13" x14ac:dyDescent="0.3">
      <c r="A8" s="140"/>
      <c r="B8" s="139">
        <v>0</v>
      </c>
      <c r="C8" s="58" t="s">
        <v>178</v>
      </c>
      <c r="D8" s="141">
        <v>0</v>
      </c>
      <c r="E8" s="141">
        <v>0</v>
      </c>
      <c r="F8" s="141">
        <v>0</v>
      </c>
      <c r="G8" s="141">
        <v>0</v>
      </c>
      <c r="H8" s="141">
        <v>0</v>
      </c>
      <c r="I8" s="1">
        <f t="shared" si="0"/>
        <v>0</v>
      </c>
      <c r="J8" s="140"/>
    </row>
    <row r="9" spans="1:13" x14ac:dyDescent="0.3">
      <c r="A9" s="140"/>
      <c r="B9" s="139">
        <v>0</v>
      </c>
      <c r="C9" s="58" t="s">
        <v>178</v>
      </c>
      <c r="D9" s="141">
        <v>0</v>
      </c>
      <c r="E9" s="141">
        <v>0</v>
      </c>
      <c r="F9" s="141">
        <v>0</v>
      </c>
      <c r="G9" s="141">
        <v>0</v>
      </c>
      <c r="H9" s="141">
        <v>0</v>
      </c>
      <c r="I9" s="1">
        <f t="shared" si="0"/>
        <v>0</v>
      </c>
      <c r="J9" s="140"/>
    </row>
    <row r="10" spans="1:13" ht="15.6" customHeight="1" x14ac:dyDescent="0.3">
      <c r="A10" s="140"/>
      <c r="B10" s="139">
        <v>0</v>
      </c>
      <c r="C10" s="58" t="s">
        <v>178</v>
      </c>
      <c r="D10" s="141">
        <v>0</v>
      </c>
      <c r="E10" s="141">
        <v>0</v>
      </c>
      <c r="F10" s="141">
        <v>0</v>
      </c>
      <c r="G10" s="141">
        <v>0</v>
      </c>
      <c r="H10" s="141">
        <v>0</v>
      </c>
      <c r="I10" s="1">
        <f t="shared" si="0"/>
        <v>0</v>
      </c>
      <c r="J10" s="140"/>
      <c r="M10" s="3"/>
    </row>
    <row r="11" spans="1:13" ht="15.6" customHeight="1" x14ac:dyDescent="0.3">
      <c r="A11" s="140"/>
      <c r="B11" s="139">
        <v>0</v>
      </c>
      <c r="C11" s="58" t="s">
        <v>178</v>
      </c>
      <c r="D11" s="141">
        <v>0</v>
      </c>
      <c r="E11" s="141">
        <v>0</v>
      </c>
      <c r="F11" s="141">
        <v>0</v>
      </c>
      <c r="G11" s="141">
        <v>0</v>
      </c>
      <c r="H11" s="141">
        <v>0</v>
      </c>
      <c r="I11" s="1">
        <f t="shared" si="0"/>
        <v>0</v>
      </c>
      <c r="J11" s="140"/>
      <c r="M11" s="3"/>
    </row>
    <row r="12" spans="1:13" x14ac:dyDescent="0.3">
      <c r="A12" s="140"/>
      <c r="B12" s="139">
        <v>0</v>
      </c>
      <c r="C12" s="58" t="s">
        <v>178</v>
      </c>
      <c r="D12" s="141">
        <v>0</v>
      </c>
      <c r="E12" s="141">
        <v>0</v>
      </c>
      <c r="F12" s="141">
        <v>0</v>
      </c>
      <c r="G12" s="141">
        <v>0</v>
      </c>
      <c r="H12" s="141">
        <v>0</v>
      </c>
      <c r="I12" s="1">
        <f t="shared" si="0"/>
        <v>0</v>
      </c>
      <c r="J12" s="140"/>
    </row>
    <row r="13" spans="1:13" ht="15.6" customHeight="1" x14ac:dyDescent="0.3">
      <c r="A13" s="140"/>
      <c r="B13" s="139">
        <v>0</v>
      </c>
      <c r="C13" s="58" t="s">
        <v>178</v>
      </c>
      <c r="D13" s="141">
        <v>0</v>
      </c>
      <c r="E13" s="141">
        <v>0</v>
      </c>
      <c r="F13" s="141">
        <v>0</v>
      </c>
      <c r="G13" s="141">
        <v>0</v>
      </c>
      <c r="H13" s="141">
        <v>0</v>
      </c>
      <c r="I13" s="1">
        <f t="shared" si="0"/>
        <v>0</v>
      </c>
      <c r="J13" s="140"/>
      <c r="M13" s="3"/>
    </row>
    <row r="14" spans="1:13" s="10" customFormat="1" ht="15.6" customHeight="1" x14ac:dyDescent="0.3">
      <c r="B14" s="4"/>
      <c r="C14" s="4"/>
      <c r="D14" s="4"/>
      <c r="E14" s="4"/>
      <c r="F14" s="4"/>
      <c r="G14" s="4"/>
      <c r="H14" s="4"/>
      <c r="K14" s="322"/>
      <c r="L14" s="322"/>
      <c r="M14" s="322"/>
    </row>
    <row r="15" spans="1:13" ht="15.6" hidden="1" customHeight="1" x14ac:dyDescent="0.3">
      <c r="A15" s="7"/>
      <c r="C15" s="11"/>
      <c r="D15" s="117">
        <f t="shared" ref="D15:H25" si="1">IF(D3&gt;0,(D3*$B3),0)</f>
        <v>0</v>
      </c>
      <c r="E15" s="117">
        <f t="shared" si="1"/>
        <v>0</v>
      </c>
      <c r="F15" s="117">
        <f t="shared" si="1"/>
        <v>0</v>
      </c>
      <c r="G15" s="117">
        <f t="shared" si="1"/>
        <v>0</v>
      </c>
      <c r="H15" s="117">
        <f t="shared" si="1"/>
        <v>0</v>
      </c>
      <c r="I15" s="44"/>
      <c r="J15" s="322"/>
    </row>
    <row r="16" spans="1:13" hidden="1" x14ac:dyDescent="0.3">
      <c r="D16" s="117">
        <f t="shared" si="1"/>
        <v>0</v>
      </c>
      <c r="E16" s="117">
        <f t="shared" si="1"/>
        <v>0</v>
      </c>
      <c r="F16" s="117">
        <f t="shared" si="1"/>
        <v>0</v>
      </c>
      <c r="G16" s="117">
        <f t="shared" si="1"/>
        <v>0</v>
      </c>
      <c r="H16" s="117">
        <f t="shared" si="1"/>
        <v>0</v>
      </c>
      <c r="I16" s="44"/>
    </row>
    <row r="17" spans="2:9" hidden="1" x14ac:dyDescent="0.3">
      <c r="D17" s="117">
        <f t="shared" si="1"/>
        <v>0</v>
      </c>
      <c r="E17" s="117">
        <f t="shared" si="1"/>
        <v>0</v>
      </c>
      <c r="F17" s="117">
        <f t="shared" si="1"/>
        <v>0</v>
      </c>
      <c r="G17" s="117">
        <f t="shared" si="1"/>
        <v>0</v>
      </c>
      <c r="H17" s="117">
        <f t="shared" si="1"/>
        <v>0</v>
      </c>
      <c r="I17" s="44"/>
    </row>
    <row r="18" spans="2:9" hidden="1" x14ac:dyDescent="0.3">
      <c r="D18" s="117">
        <f t="shared" si="1"/>
        <v>0</v>
      </c>
      <c r="E18" s="117">
        <f t="shared" si="1"/>
        <v>0</v>
      </c>
      <c r="F18" s="117">
        <f t="shared" si="1"/>
        <v>0</v>
      </c>
      <c r="G18" s="117">
        <f t="shared" si="1"/>
        <v>0</v>
      </c>
      <c r="H18" s="117">
        <f t="shared" si="1"/>
        <v>0</v>
      </c>
      <c r="I18" s="44"/>
    </row>
    <row r="19" spans="2:9" hidden="1" x14ac:dyDescent="0.3">
      <c r="D19" s="117">
        <f t="shared" si="1"/>
        <v>0</v>
      </c>
      <c r="E19" s="117">
        <f t="shared" si="1"/>
        <v>0</v>
      </c>
      <c r="F19" s="117">
        <f t="shared" si="1"/>
        <v>0</v>
      </c>
      <c r="G19" s="117">
        <f t="shared" si="1"/>
        <v>0</v>
      </c>
      <c r="H19" s="117">
        <f t="shared" si="1"/>
        <v>0</v>
      </c>
      <c r="I19" s="44"/>
    </row>
    <row r="20" spans="2:9" hidden="1" x14ac:dyDescent="0.3">
      <c r="D20" s="117">
        <f t="shared" si="1"/>
        <v>0</v>
      </c>
      <c r="E20" s="117">
        <f t="shared" si="1"/>
        <v>0</v>
      </c>
      <c r="F20" s="117">
        <f t="shared" si="1"/>
        <v>0</v>
      </c>
      <c r="G20" s="117">
        <f t="shared" si="1"/>
        <v>0</v>
      </c>
      <c r="H20" s="117">
        <f t="shared" si="1"/>
        <v>0</v>
      </c>
      <c r="I20" s="44"/>
    </row>
    <row r="21" spans="2:9" hidden="1" x14ac:dyDescent="0.3">
      <c r="D21" s="117">
        <f t="shared" si="1"/>
        <v>0</v>
      </c>
      <c r="E21" s="117">
        <f t="shared" si="1"/>
        <v>0</v>
      </c>
      <c r="F21" s="117">
        <f t="shared" si="1"/>
        <v>0</v>
      </c>
      <c r="G21" s="117">
        <f t="shared" si="1"/>
        <v>0</v>
      </c>
      <c r="H21" s="117">
        <f t="shared" si="1"/>
        <v>0</v>
      </c>
      <c r="I21" s="44"/>
    </row>
    <row r="22" spans="2:9" hidden="1" x14ac:dyDescent="0.3">
      <c r="D22" s="117">
        <f t="shared" si="1"/>
        <v>0</v>
      </c>
      <c r="E22" s="117">
        <f t="shared" si="1"/>
        <v>0</v>
      </c>
      <c r="F22" s="117">
        <f t="shared" si="1"/>
        <v>0</v>
      </c>
      <c r="G22" s="117">
        <f t="shared" si="1"/>
        <v>0</v>
      </c>
      <c r="H22" s="117">
        <f t="shared" si="1"/>
        <v>0</v>
      </c>
      <c r="I22" s="44"/>
    </row>
    <row r="23" spans="2:9" hidden="1" x14ac:dyDescent="0.3">
      <c r="D23" s="117">
        <f t="shared" si="1"/>
        <v>0</v>
      </c>
      <c r="E23" s="117">
        <f t="shared" si="1"/>
        <v>0</v>
      </c>
      <c r="F23" s="117">
        <f t="shared" si="1"/>
        <v>0</v>
      </c>
      <c r="G23" s="117">
        <f t="shared" si="1"/>
        <v>0</v>
      </c>
      <c r="H23" s="117">
        <f t="shared" si="1"/>
        <v>0</v>
      </c>
      <c r="I23" s="44"/>
    </row>
    <row r="24" spans="2:9" hidden="1" x14ac:dyDescent="0.3">
      <c r="D24" s="117">
        <f t="shared" si="1"/>
        <v>0</v>
      </c>
      <c r="E24" s="117">
        <f t="shared" si="1"/>
        <v>0</v>
      </c>
      <c r="F24" s="117">
        <f t="shared" si="1"/>
        <v>0</v>
      </c>
      <c r="G24" s="117">
        <f t="shared" si="1"/>
        <v>0</v>
      </c>
      <c r="H24" s="117">
        <f t="shared" si="1"/>
        <v>0</v>
      </c>
      <c r="I24" s="44"/>
    </row>
    <row r="25" spans="2:9" hidden="1" x14ac:dyDescent="0.3">
      <c r="D25" s="117">
        <f t="shared" si="1"/>
        <v>0</v>
      </c>
      <c r="E25" s="117">
        <f t="shared" si="1"/>
        <v>0</v>
      </c>
      <c r="F25" s="117">
        <f t="shared" si="1"/>
        <v>0</v>
      </c>
      <c r="G25" s="117">
        <f t="shared" si="1"/>
        <v>0</v>
      </c>
      <c r="H25" s="117">
        <f t="shared" si="1"/>
        <v>0</v>
      </c>
      <c r="I25" s="44"/>
    </row>
    <row r="26" spans="2:9" ht="15.6" customHeight="1" x14ac:dyDescent="0.3">
      <c r="B26" s="7" t="s">
        <v>22</v>
      </c>
      <c r="D26" s="8">
        <f>ROUND(SUM(D15:D25),0)</f>
        <v>0</v>
      </c>
      <c r="E26" s="8">
        <f>ROUND(SUM(E15:E25),0)</f>
        <v>0</v>
      </c>
      <c r="F26" s="8">
        <f>ROUND(SUM(F15:F25),0)</f>
        <v>0</v>
      </c>
      <c r="G26" s="8">
        <f>ROUND(SUM(G15:G25),0)</f>
        <v>0</v>
      </c>
      <c r="H26" s="8">
        <f>ROUND(SUM(H15:H25),0)</f>
        <v>0</v>
      </c>
      <c r="I26" s="8">
        <f>ROUND(SUM(D26:H26),0)</f>
        <v>0</v>
      </c>
    </row>
    <row r="27" spans="2:9" x14ac:dyDescent="0.3">
      <c r="D27" s="49"/>
      <c r="E27" s="49"/>
      <c r="F27" s="49"/>
      <c r="G27" s="49"/>
      <c r="H27" s="49"/>
      <c r="I27" s="49"/>
    </row>
    <row r="28" spans="2:9" hidden="1" x14ac:dyDescent="0.3">
      <c r="D28" s="49"/>
      <c r="E28" s="49"/>
      <c r="F28" s="49"/>
      <c r="G28" s="49"/>
      <c r="H28" s="49"/>
      <c r="I28" s="49"/>
    </row>
    <row r="29" spans="2:9" hidden="1" x14ac:dyDescent="0.3">
      <c r="D29" s="200">
        <f t="shared" ref="D29:H39" si="2">IF($C3="Cost Share",D15,0)</f>
        <v>0</v>
      </c>
      <c r="E29" s="200">
        <f t="shared" si="2"/>
        <v>0</v>
      </c>
      <c r="F29" s="200">
        <f t="shared" si="2"/>
        <v>0</v>
      </c>
      <c r="G29" s="200">
        <f t="shared" si="2"/>
        <v>0</v>
      </c>
      <c r="H29" s="200">
        <f t="shared" si="2"/>
        <v>0</v>
      </c>
      <c r="I29" s="4"/>
    </row>
    <row r="30" spans="2:9" hidden="1" x14ac:dyDescent="0.3">
      <c r="D30" s="200">
        <f t="shared" si="2"/>
        <v>0</v>
      </c>
      <c r="E30" s="200">
        <f t="shared" si="2"/>
        <v>0</v>
      </c>
      <c r="F30" s="200">
        <f t="shared" si="2"/>
        <v>0</v>
      </c>
      <c r="G30" s="200">
        <f t="shared" si="2"/>
        <v>0</v>
      </c>
      <c r="H30" s="200">
        <f t="shared" si="2"/>
        <v>0</v>
      </c>
      <c r="I30" s="4"/>
    </row>
    <row r="31" spans="2:9" hidden="1" x14ac:dyDescent="0.3">
      <c r="D31" s="200">
        <f t="shared" si="2"/>
        <v>0</v>
      </c>
      <c r="E31" s="200">
        <f t="shared" si="2"/>
        <v>0</v>
      </c>
      <c r="F31" s="200">
        <f t="shared" si="2"/>
        <v>0</v>
      </c>
      <c r="G31" s="200">
        <f t="shared" si="2"/>
        <v>0</v>
      </c>
      <c r="H31" s="200">
        <f t="shared" si="2"/>
        <v>0</v>
      </c>
      <c r="I31" s="4"/>
    </row>
    <row r="32" spans="2:9" hidden="1" x14ac:dyDescent="0.3">
      <c r="D32" s="200">
        <f t="shared" si="2"/>
        <v>0</v>
      </c>
      <c r="E32" s="200">
        <f t="shared" si="2"/>
        <v>0</v>
      </c>
      <c r="F32" s="200">
        <f t="shared" si="2"/>
        <v>0</v>
      </c>
      <c r="G32" s="200">
        <f t="shared" si="2"/>
        <v>0</v>
      </c>
      <c r="H32" s="200">
        <f t="shared" si="2"/>
        <v>0</v>
      </c>
      <c r="I32" s="4"/>
    </row>
    <row r="33" spans="1:9" hidden="1" x14ac:dyDescent="0.3">
      <c r="D33" s="200">
        <f t="shared" si="2"/>
        <v>0</v>
      </c>
      <c r="E33" s="200">
        <f t="shared" si="2"/>
        <v>0</v>
      </c>
      <c r="F33" s="200">
        <f t="shared" si="2"/>
        <v>0</v>
      </c>
      <c r="G33" s="200">
        <f t="shared" si="2"/>
        <v>0</v>
      </c>
      <c r="H33" s="200">
        <f t="shared" si="2"/>
        <v>0</v>
      </c>
      <c r="I33" s="4"/>
    </row>
    <row r="34" spans="1:9" hidden="1" x14ac:dyDescent="0.3">
      <c r="D34" s="200">
        <f t="shared" si="2"/>
        <v>0</v>
      </c>
      <c r="E34" s="200">
        <f t="shared" si="2"/>
        <v>0</v>
      </c>
      <c r="F34" s="200">
        <f t="shared" si="2"/>
        <v>0</v>
      </c>
      <c r="G34" s="200">
        <f t="shared" si="2"/>
        <v>0</v>
      </c>
      <c r="H34" s="200">
        <f t="shared" si="2"/>
        <v>0</v>
      </c>
      <c r="I34" s="4"/>
    </row>
    <row r="35" spans="1:9" hidden="1" x14ac:dyDescent="0.3">
      <c r="D35" s="200">
        <f t="shared" si="2"/>
        <v>0</v>
      </c>
      <c r="E35" s="200">
        <f t="shared" si="2"/>
        <v>0</v>
      </c>
      <c r="F35" s="200">
        <f t="shared" si="2"/>
        <v>0</v>
      </c>
      <c r="G35" s="200">
        <f t="shared" si="2"/>
        <v>0</v>
      </c>
      <c r="H35" s="200">
        <f t="shared" si="2"/>
        <v>0</v>
      </c>
      <c r="I35" s="4"/>
    </row>
    <row r="36" spans="1:9" hidden="1" x14ac:dyDescent="0.3">
      <c r="D36" s="200">
        <f t="shared" si="2"/>
        <v>0</v>
      </c>
      <c r="E36" s="200">
        <f t="shared" si="2"/>
        <v>0</v>
      </c>
      <c r="F36" s="200">
        <f t="shared" si="2"/>
        <v>0</v>
      </c>
      <c r="G36" s="200">
        <f t="shared" si="2"/>
        <v>0</v>
      </c>
      <c r="H36" s="200">
        <f t="shared" si="2"/>
        <v>0</v>
      </c>
      <c r="I36" s="4"/>
    </row>
    <row r="37" spans="1:9" hidden="1" x14ac:dyDescent="0.3">
      <c r="D37" s="200">
        <f t="shared" si="2"/>
        <v>0</v>
      </c>
      <c r="E37" s="200">
        <f t="shared" si="2"/>
        <v>0</v>
      </c>
      <c r="F37" s="200">
        <f t="shared" si="2"/>
        <v>0</v>
      </c>
      <c r="G37" s="200">
        <f t="shared" si="2"/>
        <v>0</v>
      </c>
      <c r="H37" s="200">
        <f t="shared" si="2"/>
        <v>0</v>
      </c>
      <c r="I37" s="4"/>
    </row>
    <row r="38" spans="1:9" hidden="1" x14ac:dyDescent="0.3">
      <c r="D38" s="200">
        <f t="shared" si="2"/>
        <v>0</v>
      </c>
      <c r="E38" s="200">
        <f t="shared" si="2"/>
        <v>0</v>
      </c>
      <c r="F38" s="200">
        <f t="shared" si="2"/>
        <v>0</v>
      </c>
      <c r="G38" s="200">
        <f t="shared" si="2"/>
        <v>0</v>
      </c>
      <c r="H38" s="200">
        <f t="shared" si="2"/>
        <v>0</v>
      </c>
      <c r="I38" s="4"/>
    </row>
    <row r="39" spans="1:9" hidden="1" x14ac:dyDescent="0.3">
      <c r="D39" s="200">
        <f t="shared" si="2"/>
        <v>0</v>
      </c>
      <c r="E39" s="200">
        <f t="shared" si="2"/>
        <v>0</v>
      </c>
      <c r="F39" s="200">
        <f t="shared" si="2"/>
        <v>0</v>
      </c>
      <c r="G39" s="200">
        <f t="shared" si="2"/>
        <v>0</v>
      </c>
      <c r="H39" s="200">
        <f t="shared" si="2"/>
        <v>0</v>
      </c>
      <c r="I39" s="4"/>
    </row>
    <row r="40" spans="1:9" ht="15.6" customHeight="1" x14ac:dyDescent="0.3">
      <c r="B40" s="7" t="s">
        <v>184</v>
      </c>
      <c r="D40" s="8">
        <f>ROUND(SUM(D29:D39),0)</f>
        <v>0</v>
      </c>
      <c r="E40" s="8">
        <f>ROUND(SUM(E29:E39),0)</f>
        <v>0</v>
      </c>
      <c r="F40" s="8">
        <f>ROUND(SUM(F29:F39),0)</f>
        <v>0</v>
      </c>
      <c r="G40" s="8">
        <f>ROUND(SUM(G29:G39),0)</f>
        <v>0</v>
      </c>
      <c r="H40" s="8">
        <f>ROUND(SUM(H29:H39),0)</f>
        <v>0</v>
      </c>
      <c r="I40" s="8">
        <f>ROUND(SUM(D40:H40),0)</f>
        <v>0</v>
      </c>
    </row>
    <row r="43" spans="1:9" hidden="1" x14ac:dyDescent="0.3">
      <c r="A43" t="s">
        <v>178</v>
      </c>
    </row>
    <row r="44" spans="1:9" hidden="1" x14ac:dyDescent="0.3">
      <c r="A44" t="s">
        <v>176</v>
      </c>
    </row>
    <row r="45" spans="1:9" hidden="1" x14ac:dyDescent="0.3">
      <c r="A45" t="s">
        <v>180</v>
      </c>
    </row>
    <row r="46" spans="1:9" hidden="1" x14ac:dyDescent="0.3">
      <c r="A46" t="s">
        <v>25</v>
      </c>
    </row>
  </sheetData>
  <sheetProtection algorithmName="SHA-512" hashValue="PZeCSzRtcT6UP+E6wvys7fXpQWTisz0Lla/thbdkAcd1y6XE1sQ1ylJe2dLE0X4CKtbEUXQgbkknHC0nOxTIog==" saltValue="ayClZP5dTO68/mEtrew2jw==" spinCount="100000" sheet="1" objects="1" scenarios="1"/>
  <dataValidations count="1">
    <dataValidation type="list" allowBlank="1" showInputMessage="1" showErrorMessage="1" sqref="C3:C13" xr:uid="{00000000-0002-0000-0D00-000000000000}">
      <formula1>$A$43:$A$46</formula1>
    </dataValidation>
  </dataValidations>
  <pageMargins left="0.7" right="0.7" top="0.75" bottom="0.75" header="0.3" footer="0.3"/>
  <pageSetup scale="76"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Q43"/>
  <sheetViews>
    <sheetView zoomScale="130" zoomScaleNormal="130" workbookViewId="0">
      <pane xSplit="3" ySplit="4" topLeftCell="D5" activePane="bottomRight" state="frozen"/>
      <selection pane="topRight" activeCell="P125" sqref="P125"/>
      <selection pane="bottomLeft" activeCell="P125" sqref="P125"/>
      <selection pane="bottomRight" activeCell="D6" sqref="D6"/>
    </sheetView>
  </sheetViews>
  <sheetFormatPr defaultColWidth="8.6640625" defaultRowHeight="14.4" x14ac:dyDescent="0.3"/>
  <cols>
    <col min="1" max="1" width="37.44140625" customWidth="1"/>
    <col min="2" max="2" width="8.44140625" customWidth="1"/>
    <col min="3" max="8" width="12.44140625" customWidth="1"/>
    <col min="9" max="9" width="18.44140625" customWidth="1"/>
    <col min="11" max="11" width="9.109375" hidden="1" customWidth="1"/>
    <col min="12" max="13" width="11.44140625" hidden="1" customWidth="1"/>
    <col min="14" max="16" width="10.44140625" hidden="1" customWidth="1"/>
    <col min="17" max="17" width="11.44140625" hidden="1" customWidth="1"/>
  </cols>
  <sheetData>
    <row r="1" spans="1:17" x14ac:dyDescent="0.3">
      <c r="A1" s="64"/>
      <c r="B1" s="28"/>
    </row>
    <row r="2" spans="1:17" x14ac:dyDescent="0.3">
      <c r="A2" s="326"/>
    </row>
    <row r="3" spans="1:17" x14ac:dyDescent="0.3">
      <c r="A3" s="2"/>
      <c r="B3" s="154" t="s">
        <v>207</v>
      </c>
      <c r="C3" s="17"/>
      <c r="D3" s="14"/>
      <c r="E3" s="14"/>
      <c r="F3" s="14"/>
      <c r="G3" s="14"/>
      <c r="H3" s="14"/>
      <c r="I3" s="14"/>
      <c r="L3" s="14"/>
      <c r="M3" s="14"/>
      <c r="N3" s="14"/>
      <c r="O3" s="14"/>
      <c r="P3" s="14"/>
      <c r="Q3" s="14"/>
    </row>
    <row r="4" spans="1:17" ht="15.6" customHeight="1" x14ac:dyDescent="0.3">
      <c r="A4" s="7" t="s">
        <v>208</v>
      </c>
      <c r="B4" s="62" t="s">
        <v>209</v>
      </c>
      <c r="C4" s="21" t="s">
        <v>210</v>
      </c>
      <c r="D4" s="14" t="str">
        <f>'Sponsor Cost'!B9</f>
        <v>Year 1</v>
      </c>
      <c r="E4" s="14" t="str">
        <f>'Sponsor Cost'!C9</f>
        <v>Year 2</v>
      </c>
      <c r="F4" s="14" t="str">
        <f>'Sponsor Cost'!D9</f>
        <v>Year 3</v>
      </c>
      <c r="G4" s="14" t="str">
        <f>'Sponsor Cost'!E9</f>
        <v>Year 4</v>
      </c>
      <c r="H4" s="14" t="str">
        <f>'Sponsor Cost'!F9</f>
        <v>Year 5</v>
      </c>
      <c r="I4" s="14" t="s">
        <v>50</v>
      </c>
      <c r="L4" s="14" t="s">
        <v>45</v>
      </c>
      <c r="M4" s="14" t="s">
        <v>46</v>
      </c>
      <c r="N4" s="14" t="s">
        <v>47</v>
      </c>
      <c r="O4" s="14" t="s">
        <v>48</v>
      </c>
      <c r="P4" s="14" t="s">
        <v>49</v>
      </c>
      <c r="Q4" s="14" t="s">
        <v>50</v>
      </c>
    </row>
    <row r="5" spans="1:17" ht="15.6" customHeight="1" x14ac:dyDescent="0.3">
      <c r="A5" s="143"/>
      <c r="B5" s="323" t="s">
        <v>33</v>
      </c>
      <c r="C5" s="22" t="s">
        <v>211</v>
      </c>
      <c r="D5" s="139">
        <v>0</v>
      </c>
      <c r="E5" s="139">
        <v>0</v>
      </c>
      <c r="F5" s="139">
        <v>0</v>
      </c>
      <c r="G5" s="139">
        <v>0</v>
      </c>
      <c r="H5" s="139">
        <v>0</v>
      </c>
      <c r="I5" s="1">
        <f t="shared" ref="I5:I14" si="0">ROUND(SUM(D5:H5),0)</f>
        <v>0</v>
      </c>
      <c r="K5" s="17" t="s">
        <v>212</v>
      </c>
      <c r="L5" s="19">
        <f>IF(B5="No",0,IF(D5+D6&lt;=25000,D5+D6,25000))</f>
        <v>0</v>
      </c>
      <c r="M5" s="19">
        <f>IF(B5="No",0,IF(D5+D6+E5+E6&gt;25000,25000-L5,D5+D6+E5+E6-L5))</f>
        <v>0</v>
      </c>
      <c r="N5" s="19">
        <f>IF(B5="No",0,IF((D5+D6+E5+E6+F5+F6)&gt;25000,25000-L5-M5,(D5+E5+F5+F6+E6+D6)-L5-M5))</f>
        <v>0</v>
      </c>
      <c r="O5" s="19">
        <f>IF(B5="No",0,IF((D5+D6+E5+E6+F5+F6+G5+G6)&gt;25000,25000-L5-M5-N5,(D5+D6+E5+F5+G5+G6+F6+E6)-L5-M5-N5))</f>
        <v>0</v>
      </c>
      <c r="P5" s="19">
        <f>IF(B5="No",0,IF((D5+D6+E5+E6+F5+F6+G5+G6+H5+H6)&gt;25000,25000-L5-M5-N5-O5,(D5+D6+E5+E6+F5+G5+H5+H6+G6+F6)-L5-M5-N5-O5))</f>
        <v>0</v>
      </c>
      <c r="Q5" s="1">
        <f t="shared" ref="Q5:Q32" si="1">SUM(L5:P5)</f>
        <v>0</v>
      </c>
    </row>
    <row r="6" spans="1:17" ht="15.6" customHeight="1" x14ac:dyDescent="0.3">
      <c r="A6" s="324"/>
      <c r="B6" s="325"/>
      <c r="C6" s="22" t="s">
        <v>213</v>
      </c>
      <c r="D6" s="139">
        <v>0</v>
      </c>
      <c r="E6" s="139">
        <v>0</v>
      </c>
      <c r="F6" s="139">
        <v>0</v>
      </c>
      <c r="G6" s="139">
        <v>0</v>
      </c>
      <c r="H6" s="139">
        <v>0</v>
      </c>
      <c r="I6" s="1">
        <f t="shared" si="0"/>
        <v>0</v>
      </c>
      <c r="K6" s="17" t="s">
        <v>76</v>
      </c>
      <c r="L6" s="19">
        <f>(D5+D6)-L5</f>
        <v>0</v>
      </c>
      <c r="M6" s="19">
        <f>(E5+E6)-M5</f>
        <v>0</v>
      </c>
      <c r="N6" s="19">
        <f>(F5+F6)-N5</f>
        <v>0</v>
      </c>
      <c r="O6" s="19">
        <f>(G5+G6)-O5</f>
        <v>0</v>
      </c>
      <c r="P6" s="19">
        <f>(H5+H6)-P5</f>
        <v>0</v>
      </c>
      <c r="Q6" s="1">
        <f t="shared" si="1"/>
        <v>0</v>
      </c>
    </row>
    <row r="7" spans="1:17" ht="15.6" customHeight="1" x14ac:dyDescent="0.3">
      <c r="A7" s="143"/>
      <c r="B7" s="323" t="s">
        <v>33</v>
      </c>
      <c r="C7" s="22" t="s">
        <v>211</v>
      </c>
      <c r="D7" s="139">
        <v>0</v>
      </c>
      <c r="E7" s="139">
        <v>0</v>
      </c>
      <c r="F7" s="139">
        <v>0</v>
      </c>
      <c r="G7" s="139">
        <v>0</v>
      </c>
      <c r="H7" s="139">
        <v>0</v>
      </c>
      <c r="I7" s="1">
        <f t="shared" si="0"/>
        <v>0</v>
      </c>
      <c r="K7" s="17" t="s">
        <v>212</v>
      </c>
      <c r="L7" s="19">
        <f>IF(B7="No",0,IF(D7+D8&lt;=25000,D7+D8,25000))</f>
        <v>0</v>
      </c>
      <c r="M7" s="19">
        <f>IF(B7="No",0,IF(D7+D8+E7+E8&gt;25000,25000-L7,D7+D8+E7+E8-L7))</f>
        <v>0</v>
      </c>
      <c r="N7" s="19">
        <f>IF(B7="No",0,IF((D7+D8+E7+E8+F7+F8)&gt;25000,25000-L7-M7,(D7+E7+F7+F8+E8+D8)-L7-M7))</f>
        <v>0</v>
      </c>
      <c r="O7" s="19">
        <f>IF(B7="No",0,IF((D7+D8+E7+E8+F7+F8+G7+G8)&gt;25000,25000-L7-M7-N7,(D7+D8+E7+F7+G7+G8+F8+E8)-L7-M7-N7))</f>
        <v>0</v>
      </c>
      <c r="P7" s="19">
        <f>IF(B7="No",0,IF((D7+D8+E7+E8+F7+F8+G7+G8+H7+H8)&gt;25000,25000-L7-M7-N7-O7,(D7+D8+E7+E8+F7+G7+H7+H8+G8+F8)-L7-M7-N7-O7))</f>
        <v>0</v>
      </c>
      <c r="Q7" s="1">
        <f t="shared" si="1"/>
        <v>0</v>
      </c>
    </row>
    <row r="8" spans="1:17" ht="15.6" customHeight="1" x14ac:dyDescent="0.3">
      <c r="A8" s="324"/>
      <c r="B8" s="325"/>
      <c r="C8" s="22" t="s">
        <v>213</v>
      </c>
      <c r="D8" s="139">
        <v>0</v>
      </c>
      <c r="E8" s="139">
        <v>0</v>
      </c>
      <c r="F8" s="139">
        <v>0</v>
      </c>
      <c r="G8" s="139">
        <v>0</v>
      </c>
      <c r="H8" s="139">
        <v>0</v>
      </c>
      <c r="I8" s="1">
        <f t="shared" si="0"/>
        <v>0</v>
      </c>
      <c r="K8" s="17" t="s">
        <v>76</v>
      </c>
      <c r="L8" s="19">
        <f>(D7+D8)-L7</f>
        <v>0</v>
      </c>
      <c r="M8" s="19">
        <f>(E7+E8)-M7</f>
        <v>0</v>
      </c>
      <c r="N8" s="19">
        <f>(F7+F8)-N7</f>
        <v>0</v>
      </c>
      <c r="O8" s="19">
        <f>(G7+G8)-O7</f>
        <v>0</v>
      </c>
      <c r="P8" s="19">
        <f>(H7+H8)-P7</f>
        <v>0</v>
      </c>
      <c r="Q8" s="1">
        <f t="shared" si="1"/>
        <v>0</v>
      </c>
    </row>
    <row r="9" spans="1:17" ht="15.6" customHeight="1" x14ac:dyDescent="0.3">
      <c r="A9" s="143"/>
      <c r="B9" s="323" t="s">
        <v>33</v>
      </c>
      <c r="C9" s="22" t="s">
        <v>211</v>
      </c>
      <c r="D9" s="139">
        <v>0</v>
      </c>
      <c r="E9" s="139">
        <v>0</v>
      </c>
      <c r="F9" s="139">
        <v>0</v>
      </c>
      <c r="G9" s="139">
        <v>0</v>
      </c>
      <c r="H9" s="139">
        <v>0</v>
      </c>
      <c r="I9" s="1">
        <f t="shared" si="0"/>
        <v>0</v>
      </c>
      <c r="K9" s="17" t="s">
        <v>212</v>
      </c>
      <c r="L9" s="19">
        <f>IF(B9="No",0,IF(D9+D10&lt;=25000,D9+D10,25000))</f>
        <v>0</v>
      </c>
      <c r="M9" s="19">
        <f>IF(B9="No",0,IF(D9+D10+E9+E10&gt;25000,25000-L9,D9+D10+E9+E10-L9))</f>
        <v>0</v>
      </c>
      <c r="N9" s="19">
        <f>IF(B9="No",0,IF((D9+D10+E9+E10+F9+F10)&gt;25000,25000-L9-M9,(D9+E9+F9+F10+E10+D10)-L9-M9))</f>
        <v>0</v>
      </c>
      <c r="O9" s="19">
        <f>IF(B9="No",0,IF((D9+D10+E9+E10+F9+F10+G9+G10)&gt;25000,25000-L9-M9-N9,(D9+D10+E9+F9+G9+G10+F10+E10)-L9-M9-N9))</f>
        <v>0</v>
      </c>
      <c r="P9" s="19">
        <f>IF(B9="No",0,IF((D9+D10+E9+E10+F9+F10+G9+G10+H9+H10)&gt;25000,25000-L9-M9-N9-O9,(D9+D10+E9+E10+F9+G9+H9+H10+G10+F10)-L9-M9-N9-O9))</f>
        <v>0</v>
      </c>
      <c r="Q9" s="1">
        <f t="shared" si="1"/>
        <v>0</v>
      </c>
    </row>
    <row r="10" spans="1:17" ht="15.6" customHeight="1" x14ac:dyDescent="0.3">
      <c r="A10" s="324"/>
      <c r="B10" s="325"/>
      <c r="C10" s="22" t="s">
        <v>213</v>
      </c>
      <c r="D10" s="139">
        <v>0</v>
      </c>
      <c r="E10" s="139">
        <v>0</v>
      </c>
      <c r="F10" s="139">
        <v>0</v>
      </c>
      <c r="G10" s="139">
        <v>0</v>
      </c>
      <c r="H10" s="139">
        <v>0</v>
      </c>
      <c r="I10" s="1">
        <f t="shared" si="0"/>
        <v>0</v>
      </c>
      <c r="K10" s="17" t="s">
        <v>76</v>
      </c>
      <c r="L10" s="19">
        <f>(D9+D10)-L9</f>
        <v>0</v>
      </c>
      <c r="M10" s="19">
        <f>(E9+E10)-M9</f>
        <v>0</v>
      </c>
      <c r="N10" s="19">
        <f>(F9+F10)-N9</f>
        <v>0</v>
      </c>
      <c r="O10" s="19">
        <f>(G9+G10)-O9</f>
        <v>0</v>
      </c>
      <c r="P10" s="19">
        <f>(H9+H10)-P9</f>
        <v>0</v>
      </c>
      <c r="Q10" s="1">
        <f t="shared" si="1"/>
        <v>0</v>
      </c>
    </row>
    <row r="11" spans="1:17" ht="15.6" customHeight="1" x14ac:dyDescent="0.3">
      <c r="A11" s="143"/>
      <c r="B11" s="323" t="s">
        <v>33</v>
      </c>
      <c r="C11" s="22" t="s">
        <v>211</v>
      </c>
      <c r="D11" s="139">
        <v>0</v>
      </c>
      <c r="E11" s="139">
        <v>0</v>
      </c>
      <c r="F11" s="139">
        <v>0</v>
      </c>
      <c r="G11" s="139">
        <v>0</v>
      </c>
      <c r="H11" s="139">
        <v>0</v>
      </c>
      <c r="I11" s="1">
        <f t="shared" si="0"/>
        <v>0</v>
      </c>
      <c r="K11" s="17" t="s">
        <v>212</v>
      </c>
      <c r="L11" s="19">
        <f>IF(B11="No",0,IF(D11+D12&lt;=25000,D11+D12,25000))</f>
        <v>0</v>
      </c>
      <c r="M11" s="19">
        <f>IF(B11="No",0,IF(D11+D12+E11+E12&gt;25000,25000-L11,D11+D12+E11+E12-L11))</f>
        <v>0</v>
      </c>
      <c r="N11" s="19">
        <f>IF(B11="No",0,IF((D11+D12+E11+E12+F11+F12)&gt;25000,25000-L11-M11,(D11+E11+F11+F12+E12+D12)-L11-M11))</f>
        <v>0</v>
      </c>
      <c r="O11" s="19">
        <f>IF(B11="No",0,IF((D11+D12+E11+E12+F11+F12+G11+G12)&gt;25000,25000-L11-M11-N11,(D11+D12+E11+F11+G11+G12+F12+E12)-L11-M11-N11))</f>
        <v>0</v>
      </c>
      <c r="P11" s="19">
        <f>IF(B11="No",0,IF((D11+D12+E11+E12+F11+F12+G11+G12+H11+H12)&gt;25000,25000-L11-M11-N11-O11,(D11+D12+E11+E12+F11+G11+H11+H12+G12+F12)-L11-M11-N11-O11))</f>
        <v>0</v>
      </c>
      <c r="Q11" s="1">
        <f t="shared" si="1"/>
        <v>0</v>
      </c>
    </row>
    <row r="12" spans="1:17" ht="15.6" customHeight="1" x14ac:dyDescent="0.3">
      <c r="A12" s="324"/>
      <c r="B12" s="325"/>
      <c r="C12" s="22" t="s">
        <v>213</v>
      </c>
      <c r="D12" s="139">
        <v>0</v>
      </c>
      <c r="E12" s="139">
        <v>0</v>
      </c>
      <c r="F12" s="139">
        <v>0</v>
      </c>
      <c r="G12" s="139">
        <v>0</v>
      </c>
      <c r="H12" s="139">
        <v>0</v>
      </c>
      <c r="I12" s="1">
        <f t="shared" si="0"/>
        <v>0</v>
      </c>
      <c r="K12" s="17" t="s">
        <v>76</v>
      </c>
      <c r="L12" s="19">
        <f>(D11+D12)-L11</f>
        <v>0</v>
      </c>
      <c r="M12" s="19">
        <f>(E11+E12)-M11</f>
        <v>0</v>
      </c>
      <c r="N12" s="19">
        <f>(F11+F12)-N11</f>
        <v>0</v>
      </c>
      <c r="O12" s="19">
        <f>(G11+G12)-O11</f>
        <v>0</v>
      </c>
      <c r="P12" s="19">
        <f>(H11+H12)-P11</f>
        <v>0</v>
      </c>
      <c r="Q12" s="1">
        <f t="shared" si="1"/>
        <v>0</v>
      </c>
    </row>
    <row r="13" spans="1:17" ht="15.6" customHeight="1" x14ac:dyDescent="0.3">
      <c r="A13" s="143"/>
      <c r="B13" s="323" t="s">
        <v>33</v>
      </c>
      <c r="C13" s="22" t="s">
        <v>211</v>
      </c>
      <c r="D13" s="139">
        <v>0</v>
      </c>
      <c r="E13" s="139">
        <v>0</v>
      </c>
      <c r="F13" s="139">
        <v>0</v>
      </c>
      <c r="G13" s="139">
        <v>0</v>
      </c>
      <c r="H13" s="139">
        <v>0</v>
      </c>
      <c r="I13" s="1">
        <f t="shared" si="0"/>
        <v>0</v>
      </c>
      <c r="K13" s="17" t="s">
        <v>212</v>
      </c>
      <c r="L13" s="19">
        <f>IF(B13="No",0,IF(D13+D14&lt;=25000,D13+D14,25000))</f>
        <v>0</v>
      </c>
      <c r="M13" s="19">
        <f>IF(B13="No",0,IF(D13+D14+E13+E14&gt;25000,25000-L13,D13+D14+E13+E14-L13))</f>
        <v>0</v>
      </c>
      <c r="N13" s="19">
        <f>IF(B13="No",0,IF((D13+D14+E13+E14+F13+F14)&gt;25000,25000-L13-M13,(D13+E13+F13+F14+E14+D14)-L13-M13))</f>
        <v>0</v>
      </c>
      <c r="O13" s="19">
        <f>IF(B13="No",0,IF((D13+D14+E13+E14+F13+F14+G13+G14)&gt;25000,25000-L13-M13-N13,(D13+D14+E13+F13+G13+G14+F14+E14)-L13-M13-N13))</f>
        <v>0</v>
      </c>
      <c r="P13" s="19">
        <f>IF(B13="No",0,IF((D13+D14+E13+E14+F13+F14+G13+G14+H13+H14)&gt;25000,25000-L13-M13-N13-O13,(D13+D14+E13+E14+F13+G13+H13+H14+G14+F14)-L13-M13-N13-O13))</f>
        <v>0</v>
      </c>
      <c r="Q13" s="1">
        <f t="shared" si="1"/>
        <v>0</v>
      </c>
    </row>
    <row r="14" spans="1:17" ht="15.6" customHeight="1" x14ac:dyDescent="0.3">
      <c r="A14" s="324"/>
      <c r="B14" s="325"/>
      <c r="C14" s="22" t="s">
        <v>213</v>
      </c>
      <c r="D14" s="139">
        <v>0</v>
      </c>
      <c r="E14" s="139">
        <v>0</v>
      </c>
      <c r="F14" s="139">
        <v>0</v>
      </c>
      <c r="G14" s="139">
        <v>0</v>
      </c>
      <c r="H14" s="139">
        <v>0</v>
      </c>
      <c r="I14" s="1">
        <f t="shared" si="0"/>
        <v>0</v>
      </c>
      <c r="K14" s="17" t="s">
        <v>76</v>
      </c>
      <c r="L14" s="19">
        <f>(D13+D14)-L13</f>
        <v>0</v>
      </c>
      <c r="M14" s="19">
        <f>(E13+E14)-M13</f>
        <v>0</v>
      </c>
      <c r="N14" s="19">
        <f>(F13+F14)-N13</f>
        <v>0</v>
      </c>
      <c r="O14" s="19">
        <f>(G13+G14)-O13</f>
        <v>0</v>
      </c>
      <c r="P14" s="19">
        <f>(H13+H14)-P13</f>
        <v>0</v>
      </c>
      <c r="Q14" s="1">
        <f t="shared" si="1"/>
        <v>0</v>
      </c>
    </row>
    <row r="15" spans="1:17" ht="15.6" customHeight="1" x14ac:dyDescent="0.3">
      <c r="A15" s="143"/>
      <c r="B15" s="323" t="s">
        <v>33</v>
      </c>
      <c r="C15" s="22" t="s">
        <v>211</v>
      </c>
      <c r="D15" s="139">
        <v>0</v>
      </c>
      <c r="E15" s="139">
        <v>0</v>
      </c>
      <c r="F15" s="139">
        <v>0</v>
      </c>
      <c r="G15" s="139">
        <v>0</v>
      </c>
      <c r="H15" s="139">
        <v>0</v>
      </c>
      <c r="I15" s="1">
        <f t="shared" ref="I15:I32" si="2">SUM(D15:H15)</f>
        <v>0</v>
      </c>
      <c r="K15" s="17" t="s">
        <v>212</v>
      </c>
      <c r="L15" s="19">
        <f>IF(B15="No",0,IF(D15+D16&lt;=25000,D15+D16,25000))</f>
        <v>0</v>
      </c>
      <c r="M15" s="19">
        <f>IF(B15="No",0,IF(D15+D16+E15+E16&gt;25000,25000-L15,D15+D16+E15+E16-L15))</f>
        <v>0</v>
      </c>
      <c r="N15" s="19">
        <f>IF(B15="No",0,IF((D15+D16+E15+E16+F15+F16)&gt;25000,25000-L15-M15,(D15+E15+F15+F16+E16+D16)-L15-M15))</f>
        <v>0</v>
      </c>
      <c r="O15" s="19">
        <f>IF(B15="No",0,IF((D15+D16+E15+E16+F15+F16+G15+G16)&gt;25000,25000-L15-M15-N15,(D15+D16+E15+F15+G15+G16+F16+E16)-L15-M15-N15))</f>
        <v>0</v>
      </c>
      <c r="P15" s="19">
        <f>IF(B15="No",0,IF((D15+D16+E15+E16+F15+F16+G15+G16+H15+H16)&gt;25000,25000-L15-M15-N15-O15,(D15+D16+E15+E16+F15+G15+H15+H16+G16+F16)-L15-M15-N15-O15))</f>
        <v>0</v>
      </c>
      <c r="Q15" s="1">
        <f t="shared" si="1"/>
        <v>0</v>
      </c>
    </row>
    <row r="16" spans="1:17" ht="15.6" customHeight="1" x14ac:dyDescent="0.3">
      <c r="A16" s="324"/>
      <c r="B16" s="325"/>
      <c r="C16" s="22" t="s">
        <v>213</v>
      </c>
      <c r="D16" s="139">
        <v>0</v>
      </c>
      <c r="E16" s="139">
        <v>0</v>
      </c>
      <c r="F16" s="139">
        <v>0</v>
      </c>
      <c r="G16" s="139">
        <v>0</v>
      </c>
      <c r="H16" s="139">
        <v>0</v>
      </c>
      <c r="I16" s="1">
        <f t="shared" si="2"/>
        <v>0</v>
      </c>
      <c r="K16" s="17" t="s">
        <v>76</v>
      </c>
      <c r="L16" s="19">
        <f>(D15+D16)-L15</f>
        <v>0</v>
      </c>
      <c r="M16" s="19">
        <f>(E15+E16)-M15</f>
        <v>0</v>
      </c>
      <c r="N16" s="19">
        <f>(F15+F16)-N15</f>
        <v>0</v>
      </c>
      <c r="O16" s="19">
        <f>(G15+G16)-O15</f>
        <v>0</v>
      </c>
      <c r="P16" s="19">
        <f>(H15+H16)-P15</f>
        <v>0</v>
      </c>
      <c r="Q16" s="1">
        <f t="shared" si="1"/>
        <v>0</v>
      </c>
    </row>
    <row r="17" spans="1:17" ht="15.6" customHeight="1" x14ac:dyDescent="0.3">
      <c r="A17" s="143"/>
      <c r="B17" s="323" t="s">
        <v>33</v>
      </c>
      <c r="C17" s="22" t="s">
        <v>211</v>
      </c>
      <c r="D17" s="139">
        <v>0</v>
      </c>
      <c r="E17" s="139">
        <v>0</v>
      </c>
      <c r="F17" s="139">
        <v>0</v>
      </c>
      <c r="G17" s="139">
        <v>0</v>
      </c>
      <c r="H17" s="139">
        <v>0</v>
      </c>
      <c r="I17" s="1">
        <f t="shared" si="2"/>
        <v>0</v>
      </c>
      <c r="K17" s="17" t="s">
        <v>212</v>
      </c>
      <c r="L17" s="19">
        <f>IF(B17="No",0,IF(D17+D18&lt;=25000,D17+D18,25000))</f>
        <v>0</v>
      </c>
      <c r="M17" s="19">
        <f>IF(B17="No",0,IF(D17+D18+E17+E18&gt;25000,25000-L17,D17+D18+E17+E18-L17))</f>
        <v>0</v>
      </c>
      <c r="N17" s="19">
        <f>IF(B17="No",0,IF((D17+D18+E17+E18+F17+F18)&gt;25000,25000-L17-M17,(D17+E17+F17+F18+E18+D18)-L17-M17))</f>
        <v>0</v>
      </c>
      <c r="O17" s="19">
        <f>IF(B17="No",0,IF((D17+D18+E17+E18+F17+F18+G17+G18)&gt;25000,25000-L17-M17-N17,(D17+D18+E17+F17+G17+G18+F18+E18)-L17-M17-N17))</f>
        <v>0</v>
      </c>
      <c r="P17" s="19">
        <f>IF(B17="No",0,IF((D17+D18+E17+E18+F17+F18+G17+G18+H17+H18)&gt;25000,25000-L17-M17-N17-O17,(D17+D18+E17+E18+F17+G17+H17+H18+G18+F18)-L17-M17-N17-O17))</f>
        <v>0</v>
      </c>
      <c r="Q17" s="1">
        <f t="shared" si="1"/>
        <v>0</v>
      </c>
    </row>
    <row r="18" spans="1:17" ht="15.6" customHeight="1" x14ac:dyDescent="0.3">
      <c r="A18" s="324"/>
      <c r="B18" s="325"/>
      <c r="C18" s="22" t="s">
        <v>213</v>
      </c>
      <c r="D18" s="139">
        <v>0</v>
      </c>
      <c r="E18" s="139">
        <v>0</v>
      </c>
      <c r="F18" s="139">
        <v>0</v>
      </c>
      <c r="G18" s="139">
        <v>0</v>
      </c>
      <c r="H18" s="139">
        <v>0</v>
      </c>
      <c r="I18" s="1">
        <f t="shared" si="2"/>
        <v>0</v>
      </c>
      <c r="K18" s="17" t="s">
        <v>76</v>
      </c>
      <c r="L18" s="19">
        <f>(D17+D18)-L17</f>
        <v>0</v>
      </c>
      <c r="M18" s="19">
        <f>(E17+E18)-M17</f>
        <v>0</v>
      </c>
      <c r="N18" s="19">
        <f>(F17+F18)-N17</f>
        <v>0</v>
      </c>
      <c r="O18" s="19">
        <f>(G17+G18)-O17</f>
        <v>0</v>
      </c>
      <c r="P18" s="19">
        <f>(H17+H18)-P17</f>
        <v>0</v>
      </c>
      <c r="Q18" s="1">
        <f t="shared" si="1"/>
        <v>0</v>
      </c>
    </row>
    <row r="19" spans="1:17" ht="15.6" hidden="1" customHeight="1" x14ac:dyDescent="0.3">
      <c r="A19" s="143"/>
      <c r="B19" s="323" t="s">
        <v>33</v>
      </c>
      <c r="C19" s="22" t="s">
        <v>211</v>
      </c>
      <c r="D19" s="139">
        <v>0</v>
      </c>
      <c r="E19" s="139">
        <v>0</v>
      </c>
      <c r="F19" s="139">
        <v>0</v>
      </c>
      <c r="G19" s="139">
        <v>0</v>
      </c>
      <c r="H19" s="139">
        <v>0</v>
      </c>
      <c r="I19" s="1">
        <f t="shared" si="2"/>
        <v>0</v>
      </c>
      <c r="K19" s="17" t="s">
        <v>212</v>
      </c>
      <c r="L19" s="19">
        <f>IF(B19="No",0,IF(D19+D20&lt;=25000,D19+D20,25000))</f>
        <v>0</v>
      </c>
      <c r="M19" s="19">
        <f>IF(B19="No",0,IF(D19+D20+E19+E20&gt;25000,25000-L19,D19+D20+E19+E20-L19))</f>
        <v>0</v>
      </c>
      <c r="N19" s="19">
        <f>IF(B19="No",0,IF((D19+D20+E19+E20+F19+F20)&gt;25000,25000-L19-M19,(D19+E19+F19+F20+E20+D20)-L19-M19))</f>
        <v>0</v>
      </c>
      <c r="O19" s="19">
        <f>IF(B19="No",0,IF((D19+D20+E19+E20+F19+F20+G19+G20)&gt;25000,25000-L19-M19-N19,(D19+D20+E19+F19+G19+G20+F20+E20)-L19-M19-N19))</f>
        <v>0</v>
      </c>
      <c r="P19" s="19">
        <f>IF(B19="No",0,IF((D19+D20+E19+E20+F19+F20+G19+G20+H19+H20)&gt;25000,25000-L19-M19-N19-O19,(D19+D20+E19+E20+F19+G19+H19+H20+G20+F20)-L19-M19-N19-O19))</f>
        <v>0</v>
      </c>
      <c r="Q19" s="1">
        <f t="shared" si="1"/>
        <v>0</v>
      </c>
    </row>
    <row r="20" spans="1:17" ht="15.6" hidden="1" customHeight="1" x14ac:dyDescent="0.3">
      <c r="A20" s="324"/>
      <c r="B20" s="325"/>
      <c r="C20" s="22" t="s">
        <v>213</v>
      </c>
      <c r="D20" s="139">
        <v>0</v>
      </c>
      <c r="E20" s="139">
        <v>0</v>
      </c>
      <c r="F20" s="139">
        <v>0</v>
      </c>
      <c r="G20" s="139">
        <v>0</v>
      </c>
      <c r="H20" s="139">
        <v>0</v>
      </c>
      <c r="I20" s="1">
        <f t="shared" si="2"/>
        <v>0</v>
      </c>
      <c r="K20" s="17" t="s">
        <v>76</v>
      </c>
      <c r="L20" s="19">
        <f>(D19+D20)-L19</f>
        <v>0</v>
      </c>
      <c r="M20" s="19">
        <f>(E19+E20)-M19</f>
        <v>0</v>
      </c>
      <c r="N20" s="19">
        <f>(F19+F20)-N19</f>
        <v>0</v>
      </c>
      <c r="O20" s="19">
        <f>(G19+G20)-O19</f>
        <v>0</v>
      </c>
      <c r="P20" s="19">
        <f>(H19+H20)-P19</f>
        <v>0</v>
      </c>
      <c r="Q20" s="1">
        <f t="shared" si="1"/>
        <v>0</v>
      </c>
    </row>
    <row r="21" spans="1:17" ht="15.6" hidden="1" customHeight="1" x14ac:dyDescent="0.3">
      <c r="A21" s="143"/>
      <c r="B21" s="323" t="s">
        <v>33</v>
      </c>
      <c r="C21" s="22" t="s">
        <v>211</v>
      </c>
      <c r="D21" s="139">
        <v>0</v>
      </c>
      <c r="E21" s="139">
        <v>0</v>
      </c>
      <c r="F21" s="139">
        <v>0</v>
      </c>
      <c r="G21" s="139">
        <v>0</v>
      </c>
      <c r="H21" s="139">
        <v>0</v>
      </c>
      <c r="I21" s="1">
        <f t="shared" si="2"/>
        <v>0</v>
      </c>
      <c r="K21" s="17" t="s">
        <v>212</v>
      </c>
      <c r="L21" s="19">
        <f>IF(B21="No",0,IF(D21+D22&lt;=25000,D21+D22,25000))</f>
        <v>0</v>
      </c>
      <c r="M21" s="19">
        <f>IF(B21="No",0,IF(D21+D22+E21+E22&gt;25000,25000-L21,D21+D22+E21+E22-L21))</f>
        <v>0</v>
      </c>
      <c r="N21" s="19">
        <f>IF(B21="No",0,IF((D21+D22+E21+E22+F21+F22)&gt;25000,25000-L21-M21,(D21+E21+F21+F22+E22+D22)-L21-M21))</f>
        <v>0</v>
      </c>
      <c r="O21" s="19">
        <f>IF(B21="No",0,IF((D21+D22+E21+E22+F21+F22+G21+G22)&gt;25000,25000-L21-M21-N21,(D21+D22+E21+F21+G21+G22+F22+E22)-L21-M21-N21))</f>
        <v>0</v>
      </c>
      <c r="P21" s="19">
        <f>IF(B21="No",0,IF((D21+D22+E21+E22+F21+F22+G21+G22+H21+H22)&gt;25000,25000-L21-M21-N21-O21,(D21+D22+E21+E22+F21+G21+H21+H22+G22+F22)-L21-M21-N21-O21))</f>
        <v>0</v>
      </c>
      <c r="Q21" s="1">
        <f t="shared" si="1"/>
        <v>0</v>
      </c>
    </row>
    <row r="22" spans="1:17" ht="15.6" hidden="1" customHeight="1" x14ac:dyDescent="0.3">
      <c r="A22" s="324"/>
      <c r="B22" s="325"/>
      <c r="C22" s="22" t="s">
        <v>213</v>
      </c>
      <c r="D22" s="139">
        <v>0</v>
      </c>
      <c r="E22" s="139">
        <v>0</v>
      </c>
      <c r="F22" s="139">
        <v>0</v>
      </c>
      <c r="G22" s="139">
        <v>0</v>
      </c>
      <c r="H22" s="139">
        <v>0</v>
      </c>
      <c r="I22" s="1">
        <f t="shared" si="2"/>
        <v>0</v>
      </c>
      <c r="K22" s="17" t="s">
        <v>76</v>
      </c>
      <c r="L22" s="19">
        <f>(D21+D22)-L21</f>
        <v>0</v>
      </c>
      <c r="M22" s="19">
        <f>(E21+E22)-M21</f>
        <v>0</v>
      </c>
      <c r="N22" s="19">
        <f>(F21+F22)-N21</f>
        <v>0</v>
      </c>
      <c r="O22" s="19">
        <f>(G21+G22)-O21</f>
        <v>0</v>
      </c>
      <c r="P22" s="19">
        <f>(H21+H22)-P21</f>
        <v>0</v>
      </c>
      <c r="Q22" s="1">
        <f t="shared" si="1"/>
        <v>0</v>
      </c>
    </row>
    <row r="23" spans="1:17" ht="15.6" hidden="1" customHeight="1" x14ac:dyDescent="0.3">
      <c r="A23" s="143"/>
      <c r="B23" s="323" t="s">
        <v>33</v>
      </c>
      <c r="C23" s="22" t="s">
        <v>211</v>
      </c>
      <c r="D23" s="139">
        <v>0</v>
      </c>
      <c r="E23" s="139">
        <v>0</v>
      </c>
      <c r="F23" s="139">
        <v>0</v>
      </c>
      <c r="G23" s="139">
        <v>0</v>
      </c>
      <c r="H23" s="139">
        <v>0</v>
      </c>
      <c r="I23" s="1">
        <f t="shared" si="2"/>
        <v>0</v>
      </c>
      <c r="K23" s="17" t="s">
        <v>212</v>
      </c>
      <c r="L23" s="19">
        <f>IF(B23="No",0,IF(D23+D24&lt;=25000,D23+D24,25000))</f>
        <v>0</v>
      </c>
      <c r="M23" s="19">
        <f>IF(B23="No",0,IF(D23+D24+E23+E24&gt;25000,25000-L23,D23+D24+E23+E24-L23))</f>
        <v>0</v>
      </c>
      <c r="N23" s="19">
        <f>IF(B23="No",0,IF((D23+D24+E23+E24+F23+F24)&gt;25000,25000-L23-M23,(D23+E23+F23+F24+E24+D24)-L23-M23))</f>
        <v>0</v>
      </c>
      <c r="O23" s="19">
        <f>IF(B23="No",0,IF((D23+D24+E23+E24+F23+F24+G23+G24)&gt;25000,25000-L23-M23-N23,(D23+D24+E23+F23+G23+G24+F24+E24)-L23-M23-N23))</f>
        <v>0</v>
      </c>
      <c r="P23" s="19">
        <f>IF(B23="No",0,IF((D23+D24+E23+E24+F23+F24+G23+G24+H23+H24)&gt;25000,25000-L23-M23-N23-O23,(D23+D24+E23+E24+F23+G23+H23+H24+G24+F24)-L23-M23-N23-O23))</f>
        <v>0</v>
      </c>
      <c r="Q23" s="1">
        <f t="shared" si="1"/>
        <v>0</v>
      </c>
    </row>
    <row r="24" spans="1:17" ht="15.6" hidden="1" customHeight="1" x14ac:dyDescent="0.3">
      <c r="A24" s="324"/>
      <c r="B24" s="325"/>
      <c r="C24" s="22" t="s">
        <v>213</v>
      </c>
      <c r="D24" s="139">
        <v>0</v>
      </c>
      <c r="E24" s="139">
        <v>0</v>
      </c>
      <c r="F24" s="139">
        <v>0</v>
      </c>
      <c r="G24" s="139">
        <v>0</v>
      </c>
      <c r="H24" s="139">
        <v>0</v>
      </c>
      <c r="I24" s="1">
        <f t="shared" si="2"/>
        <v>0</v>
      </c>
      <c r="K24" s="17" t="s">
        <v>76</v>
      </c>
      <c r="L24" s="19">
        <f>(D23+D24)-L23</f>
        <v>0</v>
      </c>
      <c r="M24" s="19">
        <f>(E23+E24)-M23</f>
        <v>0</v>
      </c>
      <c r="N24" s="19">
        <f>(F23+F24)-N23</f>
        <v>0</v>
      </c>
      <c r="O24" s="19">
        <f>(G23+G24)-O23</f>
        <v>0</v>
      </c>
      <c r="P24" s="19">
        <f>(H23+H24)-P23</f>
        <v>0</v>
      </c>
      <c r="Q24" s="1">
        <f t="shared" si="1"/>
        <v>0</v>
      </c>
    </row>
    <row r="25" spans="1:17" ht="15.6" hidden="1" customHeight="1" x14ac:dyDescent="0.3">
      <c r="A25" s="143"/>
      <c r="B25" s="323" t="s">
        <v>33</v>
      </c>
      <c r="C25" s="22" t="s">
        <v>211</v>
      </c>
      <c r="D25" s="139">
        <v>0</v>
      </c>
      <c r="E25" s="139">
        <v>0</v>
      </c>
      <c r="F25" s="139">
        <v>0</v>
      </c>
      <c r="G25" s="139">
        <v>0</v>
      </c>
      <c r="H25" s="139">
        <v>0</v>
      </c>
      <c r="I25" s="1">
        <f t="shared" si="2"/>
        <v>0</v>
      </c>
      <c r="K25" s="17" t="s">
        <v>212</v>
      </c>
      <c r="L25" s="19">
        <f>IF(B25="No",0,IF(D25+D26&lt;=25000,D25+D26,25000))</f>
        <v>0</v>
      </c>
      <c r="M25" s="19">
        <f>IF(B25="No",0,IF(D25+D26+E25+E26&gt;25000,25000-L25,D25+D26+E25+E26-L25))</f>
        <v>0</v>
      </c>
      <c r="N25" s="19">
        <f>IF(B25="No",0,IF((D25+D26+E25+E26+F25+F26)&gt;25000,25000-L25-M25,(D25+E25+F25+F26+E26+D26)-L25-M25))</f>
        <v>0</v>
      </c>
      <c r="O25" s="19">
        <f>IF(B25="No",0,IF((D25+D26+E25+E26+F25+F26+G25+G26)&gt;25000,25000-L25-M25-N25,(D25+D26+E25+F25+G25+G26+F26+E26)-L25-M25-N25))</f>
        <v>0</v>
      </c>
      <c r="P25" s="19">
        <f>IF(B25="No",0,IF((D25+D26+E25+E26+F25+F26+G25+G26+H25+H26)&gt;25000,25000-L25-M25-N25-O25,(D25+D26+E25+E26+F25+G25+H25+H26+G26+F26)-L25-M25-N25-O25))</f>
        <v>0</v>
      </c>
      <c r="Q25" s="1">
        <f t="shared" si="1"/>
        <v>0</v>
      </c>
    </row>
    <row r="26" spans="1:17" ht="15.6" hidden="1" customHeight="1" x14ac:dyDescent="0.3">
      <c r="A26" s="324"/>
      <c r="B26" s="325"/>
      <c r="C26" s="22" t="s">
        <v>213</v>
      </c>
      <c r="D26" s="139">
        <v>0</v>
      </c>
      <c r="E26" s="139">
        <v>0</v>
      </c>
      <c r="F26" s="139">
        <v>0</v>
      </c>
      <c r="G26" s="139">
        <v>0</v>
      </c>
      <c r="H26" s="139">
        <v>0</v>
      </c>
      <c r="I26" s="1">
        <f t="shared" si="2"/>
        <v>0</v>
      </c>
      <c r="K26" s="17" t="s">
        <v>76</v>
      </c>
      <c r="L26" s="19">
        <f>(D25+D26)-L25</f>
        <v>0</v>
      </c>
      <c r="M26" s="19">
        <f>(E25+E26)-M25</f>
        <v>0</v>
      </c>
      <c r="N26" s="19">
        <f>(F25+F26)-N25</f>
        <v>0</v>
      </c>
      <c r="O26" s="19">
        <f>(G25+G26)-O25</f>
        <v>0</v>
      </c>
      <c r="P26" s="19">
        <f>(H25+H26)-P25</f>
        <v>0</v>
      </c>
      <c r="Q26" s="1">
        <f t="shared" si="1"/>
        <v>0</v>
      </c>
    </row>
    <row r="27" spans="1:17" ht="15.6" hidden="1" customHeight="1" x14ac:dyDescent="0.3">
      <c r="A27" s="143"/>
      <c r="B27" s="323" t="s">
        <v>33</v>
      </c>
      <c r="C27" s="22" t="s">
        <v>211</v>
      </c>
      <c r="D27" s="139">
        <v>0</v>
      </c>
      <c r="E27" s="139">
        <v>0</v>
      </c>
      <c r="F27" s="139">
        <v>0</v>
      </c>
      <c r="G27" s="139">
        <v>0</v>
      </c>
      <c r="H27" s="139">
        <v>0</v>
      </c>
      <c r="I27" s="1">
        <f t="shared" si="2"/>
        <v>0</v>
      </c>
      <c r="K27" s="17" t="s">
        <v>212</v>
      </c>
      <c r="L27" s="19">
        <f>IF(B27="No",0,IF(D27+D28&lt;=25000,D27+D28,25000))</f>
        <v>0</v>
      </c>
      <c r="M27" s="19">
        <f>IF(B27="No",0,IF(D27+D28+E27+E28&gt;25000,25000-L27,D27+D28+E27+E28-L27))</f>
        <v>0</v>
      </c>
      <c r="N27" s="19">
        <f>IF(B27="No",0,IF((D27+D28+E27+E28+F27+F28)&gt;25000,25000-L27-M27,(D27+E27+F27+F28+E28+D28)-L27-M27))</f>
        <v>0</v>
      </c>
      <c r="O27" s="19">
        <f>IF(B27="No",0,IF((D27+D28+E27+E28+F27+F28+G27+G28)&gt;25000,25000-L27-M27-N27,(D27+D28+E27+F27+G27+G28+F28+E28)-L27-M27-N27))</f>
        <v>0</v>
      </c>
      <c r="P27" s="19">
        <f>IF(B27="No",0,IF((D27+D28+E27+E28+F27+F28+G27+G28+H27+H28)&gt;25000,25000-L27-M27-N27-O27,(D27+D28+E27+E28+F27+G27+H27+H28+G28+F28)-L27-M27-N27-O27))</f>
        <v>0</v>
      </c>
      <c r="Q27" s="1">
        <f t="shared" si="1"/>
        <v>0</v>
      </c>
    </row>
    <row r="28" spans="1:17" ht="15.6" hidden="1" customHeight="1" x14ac:dyDescent="0.3">
      <c r="A28" s="324"/>
      <c r="B28" s="325"/>
      <c r="C28" s="22" t="s">
        <v>213</v>
      </c>
      <c r="D28" s="139">
        <v>0</v>
      </c>
      <c r="E28" s="139">
        <v>0</v>
      </c>
      <c r="F28" s="139">
        <v>0</v>
      </c>
      <c r="G28" s="139">
        <v>0</v>
      </c>
      <c r="H28" s="139">
        <v>0</v>
      </c>
      <c r="I28" s="1">
        <f t="shared" si="2"/>
        <v>0</v>
      </c>
      <c r="K28" s="17" t="s">
        <v>76</v>
      </c>
      <c r="L28" s="19">
        <f>(D27+D28)-L27</f>
        <v>0</v>
      </c>
      <c r="M28" s="19">
        <f>(E27+E28)-M27</f>
        <v>0</v>
      </c>
      <c r="N28" s="19">
        <f>(F27+F28)-N27</f>
        <v>0</v>
      </c>
      <c r="O28" s="19">
        <f>(G27+G28)-O27</f>
        <v>0</v>
      </c>
      <c r="P28" s="19">
        <f>(H27+H28)-P27</f>
        <v>0</v>
      </c>
      <c r="Q28" s="1">
        <f t="shared" si="1"/>
        <v>0</v>
      </c>
    </row>
    <row r="29" spans="1:17" ht="15.6" hidden="1" customHeight="1" x14ac:dyDescent="0.3">
      <c r="A29" s="143"/>
      <c r="B29" s="323" t="s">
        <v>33</v>
      </c>
      <c r="C29" s="22" t="s">
        <v>211</v>
      </c>
      <c r="D29" s="139">
        <v>0</v>
      </c>
      <c r="E29" s="139">
        <v>0</v>
      </c>
      <c r="F29" s="139">
        <v>0</v>
      </c>
      <c r="G29" s="139">
        <v>0</v>
      </c>
      <c r="H29" s="139">
        <v>0</v>
      </c>
      <c r="I29" s="1">
        <f t="shared" si="2"/>
        <v>0</v>
      </c>
      <c r="K29" s="17" t="s">
        <v>212</v>
      </c>
      <c r="L29" s="19">
        <f>IF(B29="No",0,IF(D29+D30&lt;=25000,D29+D30,25000))</f>
        <v>0</v>
      </c>
      <c r="M29" s="19">
        <f>IF(B29="No",0,IF(D29+D30+E29+E30&gt;25000,25000-L29,D29+D30+E29+E30-L29))</f>
        <v>0</v>
      </c>
      <c r="N29" s="19">
        <f>IF(B29="No",0,IF((D29+D30+E29+E30+F29+F30)&gt;25000,25000-L29-M29,(D29+E29+F29+F30+E30+D30)-L29-M29))</f>
        <v>0</v>
      </c>
      <c r="O29" s="19">
        <f>IF(B29="No",0,IF((D29+D30+E29+E30+F29+F30+G29+G30)&gt;25000,25000-L29-M29-N29,(D29+D30+E29+F29+G29+G30+F30+E30)-L29-M29-N29))</f>
        <v>0</v>
      </c>
      <c r="P29" s="19">
        <f>IF(B29="No",0,IF((D29+D30+E29+E30+F29+F30+G29+G30+H29+H30)&gt;25000,25000-L29-M29-N29-O29,(D29+D30+E29+E30+F29+G29+H29+H30+G30+F30)-L29-M29-N29-O29))</f>
        <v>0</v>
      </c>
      <c r="Q29" s="1">
        <f t="shared" si="1"/>
        <v>0</v>
      </c>
    </row>
    <row r="30" spans="1:17" ht="15.6" hidden="1" customHeight="1" x14ac:dyDescent="0.3">
      <c r="A30" s="324"/>
      <c r="B30" s="325"/>
      <c r="C30" s="22" t="s">
        <v>213</v>
      </c>
      <c r="D30" s="139">
        <v>0</v>
      </c>
      <c r="E30" s="139">
        <v>0</v>
      </c>
      <c r="F30" s="139">
        <v>0</v>
      </c>
      <c r="G30" s="139">
        <v>0</v>
      </c>
      <c r="H30" s="139">
        <v>0</v>
      </c>
      <c r="I30" s="1">
        <f t="shared" si="2"/>
        <v>0</v>
      </c>
      <c r="K30" s="17" t="s">
        <v>76</v>
      </c>
      <c r="L30" s="19">
        <f>(D29+D30)-L29</f>
        <v>0</v>
      </c>
      <c r="M30" s="19">
        <f>(E29+E30)-M29</f>
        <v>0</v>
      </c>
      <c r="N30" s="19">
        <f>(F29+F30)-N29</f>
        <v>0</v>
      </c>
      <c r="O30" s="19">
        <f>(G29+G30)-O29</f>
        <v>0</v>
      </c>
      <c r="P30" s="19">
        <f>(H29+H30)-P29</f>
        <v>0</v>
      </c>
      <c r="Q30" s="1">
        <f t="shared" si="1"/>
        <v>0</v>
      </c>
    </row>
    <row r="31" spans="1:17" ht="15.6" hidden="1" customHeight="1" x14ac:dyDescent="0.3">
      <c r="A31" s="143"/>
      <c r="B31" s="323" t="s">
        <v>33</v>
      </c>
      <c r="C31" s="22" t="s">
        <v>211</v>
      </c>
      <c r="D31" s="139">
        <v>0</v>
      </c>
      <c r="E31" s="139">
        <v>0</v>
      </c>
      <c r="F31" s="139">
        <v>0</v>
      </c>
      <c r="G31" s="139">
        <v>0</v>
      </c>
      <c r="H31" s="139">
        <v>0</v>
      </c>
      <c r="I31" s="1">
        <f t="shared" si="2"/>
        <v>0</v>
      </c>
      <c r="K31" s="17" t="s">
        <v>212</v>
      </c>
      <c r="L31" s="19">
        <f>IF(B31="No",0,IF(D31+D32&lt;=25000,D31+D32,25000))</f>
        <v>0</v>
      </c>
      <c r="M31" s="19">
        <f>IF(B31="No",0,IF(D31+D32+E31+E32&gt;25000,25000-L31,D31+D32+E31+E32-L31))</f>
        <v>0</v>
      </c>
      <c r="N31" s="19">
        <f>IF(B31="No",0,IF((D31+D32+E31+E32+F31+F32)&gt;25000,25000-L31-M31,(D31+E31+F31+F32+E32+D32)-L31-M31))</f>
        <v>0</v>
      </c>
      <c r="O31" s="19">
        <f>IF(B31="No",0,IF((D31+D32+E31+E32+F31+F32+G31+G32)&gt;25000,25000-L31-M31-N31,(D31+D32+E31+F31+G31+G32+F32+E32)-L31-M31-N31))</f>
        <v>0</v>
      </c>
      <c r="P31" s="19">
        <f>IF(B31="No",0,IF((D31+D32+E31+E32+F31+F32+G31+G32+H31+H32)&gt;25000,25000-L31-M31-N31-O31,(D31+D32+E31+E32+F31+G31+H31+H32+G32+F32)-L31-M31-N31-O31))</f>
        <v>0</v>
      </c>
      <c r="Q31" s="1">
        <f t="shared" si="1"/>
        <v>0</v>
      </c>
    </row>
    <row r="32" spans="1:17" ht="15.6" hidden="1" customHeight="1" x14ac:dyDescent="0.3">
      <c r="A32" s="324"/>
      <c r="B32" s="325"/>
      <c r="C32" s="22" t="s">
        <v>213</v>
      </c>
      <c r="D32" s="139">
        <v>0</v>
      </c>
      <c r="E32" s="139">
        <v>0</v>
      </c>
      <c r="F32" s="139">
        <v>0</v>
      </c>
      <c r="G32" s="139">
        <v>0</v>
      </c>
      <c r="H32" s="139">
        <v>0</v>
      </c>
      <c r="I32" s="1">
        <f t="shared" si="2"/>
        <v>0</v>
      </c>
      <c r="K32" s="17" t="s">
        <v>76</v>
      </c>
      <c r="L32" s="19">
        <f>(D31+D32)-L31</f>
        <v>0</v>
      </c>
      <c r="M32" s="19">
        <f>(E31+E32)-M31</f>
        <v>0</v>
      </c>
      <c r="N32" s="19">
        <f>(F31+F32)-N31</f>
        <v>0</v>
      </c>
      <c r="O32" s="19">
        <f>(G31+G32)-O31</f>
        <v>0</v>
      </c>
      <c r="P32" s="19">
        <f>(H31+H32)-P31</f>
        <v>0</v>
      </c>
      <c r="Q32" s="1">
        <f t="shared" si="1"/>
        <v>0</v>
      </c>
    </row>
    <row r="34" spans="1:9" x14ac:dyDescent="0.3">
      <c r="A34" s="9" t="s">
        <v>214</v>
      </c>
      <c r="B34" s="9"/>
      <c r="C34" s="9"/>
      <c r="D34" s="15">
        <f t="shared" ref="D34:I34" si="3">ROUND(SUM(D5:D33),0)</f>
        <v>0</v>
      </c>
      <c r="E34" s="15">
        <f t="shared" si="3"/>
        <v>0</v>
      </c>
      <c r="F34" s="15">
        <f t="shared" si="3"/>
        <v>0</v>
      </c>
      <c r="G34" s="15">
        <f t="shared" si="3"/>
        <v>0</v>
      </c>
      <c r="H34" s="15">
        <f t="shared" si="3"/>
        <v>0</v>
      </c>
      <c r="I34" s="15">
        <f t="shared" si="3"/>
        <v>0</v>
      </c>
    </row>
    <row r="36" spans="1:9" x14ac:dyDescent="0.3">
      <c r="C36" s="18" t="s">
        <v>211</v>
      </c>
      <c r="D36" s="1">
        <f t="shared" ref="D36:H37" si="4">ROUND(D5+D7+D9+D11+D13+D15+D17+D19+D21+D23+D25+D27+D29+D31,0)</f>
        <v>0</v>
      </c>
      <c r="E36" s="1">
        <f t="shared" si="4"/>
        <v>0</v>
      </c>
      <c r="F36" s="1">
        <f t="shared" si="4"/>
        <v>0</v>
      </c>
      <c r="G36" s="1">
        <f t="shared" si="4"/>
        <v>0</v>
      </c>
      <c r="H36" s="1">
        <f t="shared" si="4"/>
        <v>0</v>
      </c>
      <c r="I36" s="1">
        <f>ROUND(SUM(D36:H36),0)</f>
        <v>0</v>
      </c>
    </row>
    <row r="37" spans="1:9" x14ac:dyDescent="0.3">
      <c r="C37" s="18" t="s">
        <v>213</v>
      </c>
      <c r="D37" s="1">
        <f t="shared" si="4"/>
        <v>0</v>
      </c>
      <c r="E37" s="1">
        <f t="shared" si="4"/>
        <v>0</v>
      </c>
      <c r="F37" s="1">
        <f t="shared" si="4"/>
        <v>0</v>
      </c>
      <c r="G37" s="1">
        <f t="shared" si="4"/>
        <v>0</v>
      </c>
      <c r="H37" s="1">
        <f t="shared" si="4"/>
        <v>0</v>
      </c>
      <c r="I37" s="1">
        <f>ROUND(SUM(D37:H37),0)</f>
        <v>0</v>
      </c>
    </row>
    <row r="39" spans="1:9" x14ac:dyDescent="0.3">
      <c r="A39" s="195" t="s">
        <v>215</v>
      </c>
      <c r="B39" s="196">
        <v>93142</v>
      </c>
      <c r="C39" s="17" t="s">
        <v>212</v>
      </c>
      <c r="D39" s="16">
        <f t="shared" ref="D39:H40" si="5">ROUND(L5+L7+L9+L11+L13+L15+L17+L19+L21+L23+L25+L27+L29+L31,0)</f>
        <v>0</v>
      </c>
      <c r="E39" s="16">
        <f t="shared" si="5"/>
        <v>0</v>
      </c>
      <c r="F39" s="16">
        <f t="shared" si="5"/>
        <v>0</v>
      </c>
      <c r="G39" s="16">
        <f t="shared" si="5"/>
        <v>0</v>
      </c>
      <c r="H39" s="16">
        <f t="shared" si="5"/>
        <v>0</v>
      </c>
      <c r="I39" s="1">
        <f>ROUND(SUM(D39:H39),0)</f>
        <v>0</v>
      </c>
    </row>
    <row r="40" spans="1:9" x14ac:dyDescent="0.3">
      <c r="A40" s="195" t="s">
        <v>216</v>
      </c>
      <c r="B40" s="196">
        <v>93145</v>
      </c>
      <c r="C40" s="17" t="s">
        <v>76</v>
      </c>
      <c r="D40" s="16">
        <f t="shared" si="5"/>
        <v>0</v>
      </c>
      <c r="E40" s="16">
        <f t="shared" si="5"/>
        <v>0</v>
      </c>
      <c r="F40" s="16">
        <f t="shared" si="5"/>
        <v>0</v>
      </c>
      <c r="G40" s="16">
        <f t="shared" si="5"/>
        <v>0</v>
      </c>
      <c r="H40" s="16">
        <f t="shared" si="5"/>
        <v>0</v>
      </c>
      <c r="I40" s="1">
        <f>ROUND(SUM(D40:H40),0)</f>
        <v>0</v>
      </c>
    </row>
    <row r="42" spans="1:9" hidden="1" x14ac:dyDescent="0.3">
      <c r="A42" t="s">
        <v>33</v>
      </c>
    </row>
    <row r="43" spans="1:9" hidden="1" x14ac:dyDescent="0.3">
      <c r="A43" t="s">
        <v>34</v>
      </c>
    </row>
  </sheetData>
  <sheetProtection algorithmName="SHA-512" hashValue="Il9/mPqUHIP9p6nXwW43aQPH7BJ3dCKnWLHxIyUjo8z3KoUXdsBthIlzKUWhE7ppq2/bDI7uDrkPV3kMAuS8Qg==" saltValue="FtU3WkDl7hOrAfdwJOEM2w==" spinCount="100000" sheet="1" objects="1" scenarios="1"/>
  <dataValidations count="1">
    <dataValidation type="list" allowBlank="1" showInputMessage="1" showErrorMessage="1" sqref="B5:B32" xr:uid="{00000000-0002-0000-0E00-000000000000}">
      <formula1>$A$42:$A$43</formula1>
    </dataValidation>
  </dataValidations>
  <pageMargins left="0.7" right="0.7" top="0.75" bottom="0.75" header="0.3" footer="0.3"/>
  <pageSetup scale="88"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VP49"/>
  <sheetViews>
    <sheetView workbookViewId="0">
      <selection activeCell="A46" sqref="A46:H46"/>
    </sheetView>
  </sheetViews>
  <sheetFormatPr defaultColWidth="9.33203125" defaultRowHeight="13.8" x14ac:dyDescent="0.25"/>
  <cols>
    <col min="1" max="1" width="11.6640625" style="377" customWidth="1"/>
    <col min="2" max="3" width="9.33203125" style="377" customWidth="1"/>
    <col min="4" max="4" width="18.6640625" style="377" customWidth="1"/>
    <col min="5" max="6" width="9.33203125" style="377" customWidth="1"/>
    <col min="7" max="7" width="6.33203125" style="377" customWidth="1"/>
    <col min="8" max="8" width="8.44140625" style="377" hidden="1" customWidth="1"/>
    <col min="9" max="10" width="9.33203125" style="377" customWidth="1"/>
    <col min="11" max="11" width="5.6640625" style="377" customWidth="1"/>
    <col min="12" max="256" width="9.33203125" style="377" customWidth="1"/>
    <col min="257" max="257" width="11.6640625" style="377" customWidth="1"/>
    <col min="258" max="259" width="9.33203125" style="377" customWidth="1"/>
    <col min="260" max="260" width="18.6640625" style="377" customWidth="1"/>
    <col min="261" max="262" width="9.33203125" style="377" customWidth="1"/>
    <col min="263" max="263" width="6.33203125" style="377" customWidth="1"/>
    <col min="264" max="264" width="13" style="377" hidden="1" customWidth="1"/>
    <col min="265" max="266" width="9.33203125" style="377" customWidth="1"/>
    <col min="267" max="267" width="5.6640625" style="377" customWidth="1"/>
    <col min="268" max="512" width="9.33203125" style="377" customWidth="1"/>
    <col min="513" max="513" width="11.6640625" style="377" customWidth="1"/>
    <col min="514" max="515" width="9.33203125" style="377" customWidth="1"/>
    <col min="516" max="516" width="18.6640625" style="377" customWidth="1"/>
    <col min="517" max="518" width="9.33203125" style="377" customWidth="1"/>
    <col min="519" max="519" width="6.33203125" style="377" customWidth="1"/>
    <col min="520" max="520" width="13" style="377" hidden="1" customWidth="1"/>
    <col min="521" max="522" width="9.33203125" style="377" customWidth="1"/>
    <col min="523" max="523" width="5.6640625" style="377" customWidth="1"/>
    <col min="524" max="768" width="9.33203125" style="377" customWidth="1"/>
    <col min="769" max="769" width="11.6640625" style="377" customWidth="1"/>
    <col min="770" max="771" width="9.33203125" style="377" customWidth="1"/>
    <col min="772" max="772" width="18.6640625" style="377" customWidth="1"/>
    <col min="773" max="774" width="9.33203125" style="377" customWidth="1"/>
    <col min="775" max="775" width="6.33203125" style="377" customWidth="1"/>
    <col min="776" max="776" width="13" style="377" hidden="1" customWidth="1"/>
    <col min="777" max="778" width="9.33203125" style="377" customWidth="1"/>
    <col min="779" max="779" width="5.6640625" style="377" customWidth="1"/>
    <col min="780" max="1024" width="9.33203125" style="377" customWidth="1"/>
    <col min="1025" max="1025" width="11.6640625" style="377" customWidth="1"/>
    <col min="1026" max="1027" width="9.33203125" style="377" customWidth="1"/>
    <col min="1028" max="1028" width="18.6640625" style="377" customWidth="1"/>
    <col min="1029" max="1030" width="9.33203125" style="377" customWidth="1"/>
    <col min="1031" max="1031" width="6.33203125" style="377" customWidth="1"/>
    <col min="1032" max="1032" width="13" style="377" hidden="1" customWidth="1"/>
    <col min="1033" max="1034" width="9.33203125" style="377" customWidth="1"/>
    <col min="1035" max="1035" width="5.6640625" style="377" customWidth="1"/>
    <col min="1036" max="1280" width="9.33203125" style="377" customWidth="1"/>
    <col min="1281" max="1281" width="11.6640625" style="377" customWidth="1"/>
    <col min="1282" max="1283" width="9.33203125" style="377" customWidth="1"/>
    <col min="1284" max="1284" width="18.6640625" style="377" customWidth="1"/>
    <col min="1285" max="1286" width="9.33203125" style="377" customWidth="1"/>
    <col min="1287" max="1287" width="6.33203125" style="377" customWidth="1"/>
    <col min="1288" max="1288" width="13" style="377" hidden="1" customWidth="1"/>
    <col min="1289" max="1290" width="9.33203125" style="377" customWidth="1"/>
    <col min="1291" max="1291" width="5.6640625" style="377" customWidth="1"/>
    <col min="1292" max="1536" width="9.33203125" style="377" customWidth="1"/>
    <col min="1537" max="1537" width="11.6640625" style="377" customWidth="1"/>
    <col min="1538" max="1539" width="9.33203125" style="377" customWidth="1"/>
    <col min="1540" max="1540" width="18.6640625" style="377" customWidth="1"/>
    <col min="1541" max="1542" width="9.33203125" style="377" customWidth="1"/>
    <col min="1543" max="1543" width="6.33203125" style="377" customWidth="1"/>
    <col min="1544" max="1544" width="13" style="377" hidden="1" customWidth="1"/>
    <col min="1545" max="1546" width="9.33203125" style="377" customWidth="1"/>
    <col min="1547" max="1547" width="5.6640625" style="377" customWidth="1"/>
    <col min="1548" max="1792" width="9.33203125" style="377" customWidth="1"/>
    <col min="1793" max="1793" width="11.6640625" style="377" customWidth="1"/>
    <col min="1794" max="1795" width="9.33203125" style="377" customWidth="1"/>
    <col min="1796" max="1796" width="18.6640625" style="377" customWidth="1"/>
    <col min="1797" max="1798" width="9.33203125" style="377" customWidth="1"/>
    <col min="1799" max="1799" width="6.33203125" style="377" customWidth="1"/>
    <col min="1800" max="1800" width="13" style="377" hidden="1" customWidth="1"/>
    <col min="1801" max="1802" width="9.33203125" style="377" customWidth="1"/>
    <col min="1803" max="1803" width="5.6640625" style="377" customWidth="1"/>
    <col min="1804" max="2048" width="9.33203125" style="377" customWidth="1"/>
    <col min="2049" max="2049" width="11.6640625" style="377" customWidth="1"/>
    <col min="2050" max="2051" width="9.33203125" style="377" customWidth="1"/>
    <col min="2052" max="2052" width="18.6640625" style="377" customWidth="1"/>
    <col min="2053" max="2054" width="9.33203125" style="377" customWidth="1"/>
    <col min="2055" max="2055" width="6.33203125" style="377" customWidth="1"/>
    <col min="2056" max="2056" width="13" style="377" hidden="1" customWidth="1"/>
    <col min="2057" max="2058" width="9.33203125" style="377" customWidth="1"/>
    <col min="2059" max="2059" width="5.6640625" style="377" customWidth="1"/>
    <col min="2060" max="2304" width="9.33203125" style="377" customWidth="1"/>
    <col min="2305" max="2305" width="11.6640625" style="377" customWidth="1"/>
    <col min="2306" max="2307" width="9.33203125" style="377" customWidth="1"/>
    <col min="2308" max="2308" width="18.6640625" style="377" customWidth="1"/>
    <col min="2309" max="2310" width="9.33203125" style="377" customWidth="1"/>
    <col min="2311" max="2311" width="6.33203125" style="377" customWidth="1"/>
    <col min="2312" max="2312" width="13" style="377" hidden="1" customWidth="1"/>
    <col min="2313" max="2314" width="9.33203125" style="377" customWidth="1"/>
    <col min="2315" max="2315" width="5.6640625" style="377" customWidth="1"/>
    <col min="2316" max="2560" width="9.33203125" style="377" customWidth="1"/>
    <col min="2561" max="2561" width="11.6640625" style="377" customWidth="1"/>
    <col min="2562" max="2563" width="9.33203125" style="377" customWidth="1"/>
    <col min="2564" max="2564" width="18.6640625" style="377" customWidth="1"/>
    <col min="2565" max="2566" width="9.33203125" style="377" customWidth="1"/>
    <col min="2567" max="2567" width="6.33203125" style="377" customWidth="1"/>
    <col min="2568" max="2568" width="13" style="377" hidden="1" customWidth="1"/>
    <col min="2569" max="2570" width="9.33203125" style="377" customWidth="1"/>
    <col min="2571" max="2571" width="5.6640625" style="377" customWidth="1"/>
    <col min="2572" max="2816" width="9.33203125" style="377" customWidth="1"/>
    <col min="2817" max="2817" width="11.6640625" style="377" customWidth="1"/>
    <col min="2818" max="2819" width="9.33203125" style="377" customWidth="1"/>
    <col min="2820" max="2820" width="18.6640625" style="377" customWidth="1"/>
    <col min="2821" max="2822" width="9.33203125" style="377" customWidth="1"/>
    <col min="2823" max="2823" width="6.33203125" style="377" customWidth="1"/>
    <col min="2824" max="2824" width="13" style="377" hidden="1" customWidth="1"/>
    <col min="2825" max="2826" width="9.33203125" style="377" customWidth="1"/>
    <col min="2827" max="2827" width="5.6640625" style="377" customWidth="1"/>
    <col min="2828" max="3072" width="9.33203125" style="377" customWidth="1"/>
    <col min="3073" max="3073" width="11.6640625" style="377" customWidth="1"/>
    <col min="3074" max="3075" width="9.33203125" style="377" customWidth="1"/>
    <col min="3076" max="3076" width="18.6640625" style="377" customWidth="1"/>
    <col min="3077" max="3078" width="9.33203125" style="377" customWidth="1"/>
    <col min="3079" max="3079" width="6.33203125" style="377" customWidth="1"/>
    <col min="3080" max="3080" width="13" style="377" hidden="1" customWidth="1"/>
    <col min="3081" max="3082" width="9.33203125" style="377" customWidth="1"/>
    <col min="3083" max="3083" width="5.6640625" style="377" customWidth="1"/>
    <col min="3084" max="3328" width="9.33203125" style="377" customWidth="1"/>
    <col min="3329" max="3329" width="11.6640625" style="377" customWidth="1"/>
    <col min="3330" max="3331" width="9.33203125" style="377" customWidth="1"/>
    <col min="3332" max="3332" width="18.6640625" style="377" customWidth="1"/>
    <col min="3333" max="3334" width="9.33203125" style="377" customWidth="1"/>
    <col min="3335" max="3335" width="6.33203125" style="377" customWidth="1"/>
    <col min="3336" max="3336" width="13" style="377" hidden="1" customWidth="1"/>
    <col min="3337" max="3338" width="9.33203125" style="377" customWidth="1"/>
    <col min="3339" max="3339" width="5.6640625" style="377" customWidth="1"/>
    <col min="3340" max="3584" width="9.33203125" style="377" customWidth="1"/>
    <col min="3585" max="3585" width="11.6640625" style="377" customWidth="1"/>
    <col min="3586" max="3587" width="9.33203125" style="377" customWidth="1"/>
    <col min="3588" max="3588" width="18.6640625" style="377" customWidth="1"/>
    <col min="3589" max="3590" width="9.33203125" style="377" customWidth="1"/>
    <col min="3591" max="3591" width="6.33203125" style="377" customWidth="1"/>
    <col min="3592" max="3592" width="13" style="377" hidden="1" customWidth="1"/>
    <col min="3593" max="3594" width="9.33203125" style="377" customWidth="1"/>
    <col min="3595" max="3595" width="5.6640625" style="377" customWidth="1"/>
    <col min="3596" max="3840" width="9.33203125" style="377" customWidth="1"/>
    <col min="3841" max="3841" width="11.6640625" style="377" customWidth="1"/>
    <col min="3842" max="3843" width="9.33203125" style="377" customWidth="1"/>
    <col min="3844" max="3844" width="18.6640625" style="377" customWidth="1"/>
    <col min="3845" max="3846" width="9.33203125" style="377" customWidth="1"/>
    <col min="3847" max="3847" width="6.33203125" style="377" customWidth="1"/>
    <col min="3848" max="3848" width="13" style="377" hidden="1" customWidth="1"/>
    <col min="3849" max="3850" width="9.33203125" style="377" customWidth="1"/>
    <col min="3851" max="3851" width="5.6640625" style="377" customWidth="1"/>
    <col min="3852" max="4096" width="9.33203125" style="377" customWidth="1"/>
    <col min="4097" max="4097" width="11.6640625" style="377" customWidth="1"/>
    <col min="4098" max="4099" width="9.33203125" style="377" customWidth="1"/>
    <col min="4100" max="4100" width="18.6640625" style="377" customWidth="1"/>
    <col min="4101" max="4102" width="9.33203125" style="377" customWidth="1"/>
    <col min="4103" max="4103" width="6.33203125" style="377" customWidth="1"/>
    <col min="4104" max="4104" width="13" style="377" hidden="1" customWidth="1"/>
    <col min="4105" max="4106" width="9.33203125" style="377" customWidth="1"/>
    <col min="4107" max="4107" width="5.6640625" style="377" customWidth="1"/>
    <col min="4108" max="4352" width="9.33203125" style="377" customWidth="1"/>
    <col min="4353" max="4353" width="11.6640625" style="377" customWidth="1"/>
    <col min="4354" max="4355" width="9.33203125" style="377" customWidth="1"/>
    <col min="4356" max="4356" width="18.6640625" style="377" customWidth="1"/>
    <col min="4357" max="4358" width="9.33203125" style="377" customWidth="1"/>
    <col min="4359" max="4359" width="6.33203125" style="377" customWidth="1"/>
    <col min="4360" max="4360" width="13" style="377" hidden="1" customWidth="1"/>
    <col min="4361" max="4362" width="9.33203125" style="377" customWidth="1"/>
    <col min="4363" max="4363" width="5.6640625" style="377" customWidth="1"/>
    <col min="4364" max="4608" width="9.33203125" style="377" customWidth="1"/>
    <col min="4609" max="4609" width="11.6640625" style="377" customWidth="1"/>
    <col min="4610" max="4611" width="9.33203125" style="377" customWidth="1"/>
    <col min="4612" max="4612" width="18.6640625" style="377" customWidth="1"/>
    <col min="4613" max="4614" width="9.33203125" style="377" customWidth="1"/>
    <col min="4615" max="4615" width="6.33203125" style="377" customWidth="1"/>
    <col min="4616" max="4616" width="13" style="377" hidden="1" customWidth="1"/>
    <col min="4617" max="4618" width="9.33203125" style="377" customWidth="1"/>
    <col min="4619" max="4619" width="5.6640625" style="377" customWidth="1"/>
    <col min="4620" max="4864" width="9.33203125" style="377" customWidth="1"/>
    <col min="4865" max="4865" width="11.6640625" style="377" customWidth="1"/>
    <col min="4866" max="4867" width="9.33203125" style="377" customWidth="1"/>
    <col min="4868" max="4868" width="18.6640625" style="377" customWidth="1"/>
    <col min="4869" max="4870" width="9.33203125" style="377" customWidth="1"/>
    <col min="4871" max="4871" width="6.33203125" style="377" customWidth="1"/>
    <col min="4872" max="4872" width="13" style="377" hidden="1" customWidth="1"/>
    <col min="4873" max="4874" width="9.33203125" style="377" customWidth="1"/>
    <col min="4875" max="4875" width="5.6640625" style="377" customWidth="1"/>
    <col min="4876" max="5120" width="9.33203125" style="377" customWidth="1"/>
    <col min="5121" max="5121" width="11.6640625" style="377" customWidth="1"/>
    <col min="5122" max="5123" width="9.33203125" style="377" customWidth="1"/>
    <col min="5124" max="5124" width="18.6640625" style="377" customWidth="1"/>
    <col min="5125" max="5126" width="9.33203125" style="377" customWidth="1"/>
    <col min="5127" max="5127" width="6.33203125" style="377" customWidth="1"/>
    <col min="5128" max="5128" width="13" style="377" hidden="1" customWidth="1"/>
    <col min="5129" max="5130" width="9.33203125" style="377" customWidth="1"/>
    <col min="5131" max="5131" width="5.6640625" style="377" customWidth="1"/>
    <col min="5132" max="5376" width="9.33203125" style="377" customWidth="1"/>
    <col min="5377" max="5377" width="11.6640625" style="377" customWidth="1"/>
    <col min="5378" max="5379" width="9.33203125" style="377" customWidth="1"/>
    <col min="5380" max="5380" width="18.6640625" style="377" customWidth="1"/>
    <col min="5381" max="5382" width="9.33203125" style="377" customWidth="1"/>
    <col min="5383" max="5383" width="6.33203125" style="377" customWidth="1"/>
    <col min="5384" max="5384" width="13" style="377" hidden="1" customWidth="1"/>
    <col min="5385" max="5386" width="9.33203125" style="377" customWidth="1"/>
    <col min="5387" max="5387" width="5.6640625" style="377" customWidth="1"/>
    <col min="5388" max="5632" width="9.33203125" style="377" customWidth="1"/>
    <col min="5633" max="5633" width="11.6640625" style="377" customWidth="1"/>
    <col min="5634" max="5635" width="9.33203125" style="377" customWidth="1"/>
    <col min="5636" max="5636" width="18.6640625" style="377" customWidth="1"/>
    <col min="5637" max="5638" width="9.33203125" style="377" customWidth="1"/>
    <col min="5639" max="5639" width="6.33203125" style="377" customWidth="1"/>
    <col min="5640" max="5640" width="13" style="377" hidden="1" customWidth="1"/>
    <col min="5641" max="5642" width="9.33203125" style="377" customWidth="1"/>
    <col min="5643" max="5643" width="5.6640625" style="377" customWidth="1"/>
    <col min="5644" max="5888" width="9.33203125" style="377" customWidth="1"/>
    <col min="5889" max="5889" width="11.6640625" style="377" customWidth="1"/>
    <col min="5890" max="5891" width="9.33203125" style="377" customWidth="1"/>
    <col min="5892" max="5892" width="18.6640625" style="377" customWidth="1"/>
    <col min="5893" max="5894" width="9.33203125" style="377" customWidth="1"/>
    <col min="5895" max="5895" width="6.33203125" style="377" customWidth="1"/>
    <col min="5896" max="5896" width="13" style="377" hidden="1" customWidth="1"/>
    <col min="5897" max="5898" width="9.33203125" style="377" customWidth="1"/>
    <col min="5899" max="5899" width="5.6640625" style="377" customWidth="1"/>
    <col min="5900" max="6144" width="9.33203125" style="377" customWidth="1"/>
    <col min="6145" max="6145" width="11.6640625" style="377" customWidth="1"/>
    <col min="6146" max="6147" width="9.33203125" style="377" customWidth="1"/>
    <col min="6148" max="6148" width="18.6640625" style="377" customWidth="1"/>
    <col min="6149" max="6150" width="9.33203125" style="377" customWidth="1"/>
    <col min="6151" max="6151" width="6.33203125" style="377" customWidth="1"/>
    <col min="6152" max="6152" width="13" style="377" hidden="1" customWidth="1"/>
    <col min="6153" max="6154" width="9.33203125" style="377" customWidth="1"/>
    <col min="6155" max="6155" width="5.6640625" style="377" customWidth="1"/>
    <col min="6156" max="6400" width="9.33203125" style="377" customWidth="1"/>
    <col min="6401" max="6401" width="11.6640625" style="377" customWidth="1"/>
    <col min="6402" max="6403" width="9.33203125" style="377" customWidth="1"/>
    <col min="6404" max="6404" width="18.6640625" style="377" customWidth="1"/>
    <col min="6405" max="6406" width="9.33203125" style="377" customWidth="1"/>
    <col min="6407" max="6407" width="6.33203125" style="377" customWidth="1"/>
    <col min="6408" max="6408" width="13" style="377" hidden="1" customWidth="1"/>
    <col min="6409" max="6410" width="9.33203125" style="377" customWidth="1"/>
    <col min="6411" max="6411" width="5.6640625" style="377" customWidth="1"/>
    <col min="6412" max="6656" width="9.33203125" style="377" customWidth="1"/>
    <col min="6657" max="6657" width="11.6640625" style="377" customWidth="1"/>
    <col min="6658" max="6659" width="9.33203125" style="377" customWidth="1"/>
    <col min="6660" max="6660" width="18.6640625" style="377" customWidth="1"/>
    <col min="6661" max="6662" width="9.33203125" style="377" customWidth="1"/>
    <col min="6663" max="6663" width="6.33203125" style="377" customWidth="1"/>
    <col min="6664" max="6664" width="13" style="377" hidden="1" customWidth="1"/>
    <col min="6665" max="6666" width="9.33203125" style="377" customWidth="1"/>
    <col min="6667" max="6667" width="5.6640625" style="377" customWidth="1"/>
    <col min="6668" max="6912" width="9.33203125" style="377" customWidth="1"/>
    <col min="6913" max="6913" width="11.6640625" style="377" customWidth="1"/>
    <col min="6914" max="6915" width="9.33203125" style="377" customWidth="1"/>
    <col min="6916" max="6916" width="18.6640625" style="377" customWidth="1"/>
    <col min="6917" max="6918" width="9.33203125" style="377" customWidth="1"/>
    <col min="6919" max="6919" width="6.33203125" style="377" customWidth="1"/>
    <col min="6920" max="6920" width="13" style="377" hidden="1" customWidth="1"/>
    <col min="6921" max="6922" width="9.33203125" style="377" customWidth="1"/>
    <col min="6923" max="6923" width="5.6640625" style="377" customWidth="1"/>
    <col min="6924" max="7168" width="9.33203125" style="377" customWidth="1"/>
    <col min="7169" max="7169" width="11.6640625" style="377" customWidth="1"/>
    <col min="7170" max="7171" width="9.33203125" style="377" customWidth="1"/>
    <col min="7172" max="7172" width="18.6640625" style="377" customWidth="1"/>
    <col min="7173" max="7174" width="9.33203125" style="377" customWidth="1"/>
    <col min="7175" max="7175" width="6.33203125" style="377" customWidth="1"/>
    <col min="7176" max="7176" width="13" style="377" hidden="1" customWidth="1"/>
    <col min="7177" max="7178" width="9.33203125" style="377" customWidth="1"/>
    <col min="7179" max="7179" width="5.6640625" style="377" customWidth="1"/>
    <col min="7180" max="7424" width="9.33203125" style="377" customWidth="1"/>
    <col min="7425" max="7425" width="11.6640625" style="377" customWidth="1"/>
    <col min="7426" max="7427" width="9.33203125" style="377" customWidth="1"/>
    <col min="7428" max="7428" width="18.6640625" style="377" customWidth="1"/>
    <col min="7429" max="7430" width="9.33203125" style="377" customWidth="1"/>
    <col min="7431" max="7431" width="6.33203125" style="377" customWidth="1"/>
    <col min="7432" max="7432" width="13" style="377" hidden="1" customWidth="1"/>
    <col min="7433" max="7434" width="9.33203125" style="377" customWidth="1"/>
    <col min="7435" max="7435" width="5.6640625" style="377" customWidth="1"/>
    <col min="7436" max="7680" width="9.33203125" style="377" customWidth="1"/>
    <col min="7681" max="7681" width="11.6640625" style="377" customWidth="1"/>
    <col min="7682" max="7683" width="9.33203125" style="377" customWidth="1"/>
    <col min="7684" max="7684" width="18.6640625" style="377" customWidth="1"/>
    <col min="7685" max="7686" width="9.33203125" style="377" customWidth="1"/>
    <col min="7687" max="7687" width="6.33203125" style="377" customWidth="1"/>
    <col min="7688" max="7688" width="13" style="377" hidden="1" customWidth="1"/>
    <col min="7689" max="7690" width="9.33203125" style="377" customWidth="1"/>
    <col min="7691" max="7691" width="5.6640625" style="377" customWidth="1"/>
    <col min="7692" max="7936" width="9.33203125" style="377" customWidth="1"/>
    <col min="7937" max="7937" width="11.6640625" style="377" customWidth="1"/>
    <col min="7938" max="7939" width="9.33203125" style="377" customWidth="1"/>
    <col min="7940" max="7940" width="18.6640625" style="377" customWidth="1"/>
    <col min="7941" max="7942" width="9.33203125" style="377" customWidth="1"/>
    <col min="7943" max="7943" width="6.33203125" style="377" customWidth="1"/>
    <col min="7944" max="7944" width="13" style="377" hidden="1" customWidth="1"/>
    <col min="7945" max="7946" width="9.33203125" style="377" customWidth="1"/>
    <col min="7947" max="7947" width="5.6640625" style="377" customWidth="1"/>
    <col min="7948" max="8192" width="9.33203125" style="377" customWidth="1"/>
    <col min="8193" max="8193" width="11.6640625" style="377" customWidth="1"/>
    <col min="8194" max="8195" width="9.33203125" style="377" customWidth="1"/>
    <col min="8196" max="8196" width="18.6640625" style="377" customWidth="1"/>
    <col min="8197" max="8198" width="9.33203125" style="377" customWidth="1"/>
    <col min="8199" max="8199" width="6.33203125" style="377" customWidth="1"/>
    <col min="8200" max="8200" width="13" style="377" hidden="1" customWidth="1"/>
    <col min="8201" max="8202" width="9.33203125" style="377" customWidth="1"/>
    <col min="8203" max="8203" width="5.6640625" style="377" customWidth="1"/>
    <col min="8204" max="8448" width="9.33203125" style="377" customWidth="1"/>
    <col min="8449" max="8449" width="11.6640625" style="377" customWidth="1"/>
    <col min="8450" max="8451" width="9.33203125" style="377" customWidth="1"/>
    <col min="8452" max="8452" width="18.6640625" style="377" customWidth="1"/>
    <col min="8453" max="8454" width="9.33203125" style="377" customWidth="1"/>
    <col min="8455" max="8455" width="6.33203125" style="377" customWidth="1"/>
    <col min="8456" max="8456" width="13" style="377" hidden="1" customWidth="1"/>
    <col min="8457" max="8458" width="9.33203125" style="377" customWidth="1"/>
    <col min="8459" max="8459" width="5.6640625" style="377" customWidth="1"/>
    <col min="8460" max="8704" width="9.33203125" style="377" customWidth="1"/>
    <col min="8705" max="8705" width="11.6640625" style="377" customWidth="1"/>
    <col min="8706" max="8707" width="9.33203125" style="377" customWidth="1"/>
    <col min="8708" max="8708" width="18.6640625" style="377" customWidth="1"/>
    <col min="8709" max="8710" width="9.33203125" style="377" customWidth="1"/>
    <col min="8711" max="8711" width="6.33203125" style="377" customWidth="1"/>
    <col min="8712" max="8712" width="13" style="377" hidden="1" customWidth="1"/>
    <col min="8713" max="8714" width="9.33203125" style="377" customWidth="1"/>
    <col min="8715" max="8715" width="5.6640625" style="377" customWidth="1"/>
    <col min="8716" max="8960" width="9.33203125" style="377" customWidth="1"/>
    <col min="8961" max="8961" width="11.6640625" style="377" customWidth="1"/>
    <col min="8962" max="8963" width="9.33203125" style="377" customWidth="1"/>
    <col min="8964" max="8964" width="18.6640625" style="377" customWidth="1"/>
    <col min="8965" max="8966" width="9.33203125" style="377" customWidth="1"/>
    <col min="8967" max="8967" width="6.33203125" style="377" customWidth="1"/>
    <col min="8968" max="8968" width="13" style="377" hidden="1" customWidth="1"/>
    <col min="8969" max="8970" width="9.33203125" style="377" customWidth="1"/>
    <col min="8971" max="8971" width="5.6640625" style="377" customWidth="1"/>
    <col min="8972" max="9216" width="9.33203125" style="377" customWidth="1"/>
    <col min="9217" max="9217" width="11.6640625" style="377" customWidth="1"/>
    <col min="9218" max="9219" width="9.33203125" style="377" customWidth="1"/>
    <col min="9220" max="9220" width="18.6640625" style="377" customWidth="1"/>
    <col min="9221" max="9222" width="9.33203125" style="377" customWidth="1"/>
    <col min="9223" max="9223" width="6.33203125" style="377" customWidth="1"/>
    <col min="9224" max="9224" width="13" style="377" hidden="1" customWidth="1"/>
    <col min="9225" max="9226" width="9.33203125" style="377" customWidth="1"/>
    <col min="9227" max="9227" width="5.6640625" style="377" customWidth="1"/>
    <col min="9228" max="9472" width="9.33203125" style="377" customWidth="1"/>
    <col min="9473" max="9473" width="11.6640625" style="377" customWidth="1"/>
    <col min="9474" max="9475" width="9.33203125" style="377" customWidth="1"/>
    <col min="9476" max="9476" width="18.6640625" style="377" customWidth="1"/>
    <col min="9477" max="9478" width="9.33203125" style="377" customWidth="1"/>
    <col min="9479" max="9479" width="6.33203125" style="377" customWidth="1"/>
    <col min="9480" max="9480" width="13" style="377" hidden="1" customWidth="1"/>
    <col min="9481" max="9482" width="9.33203125" style="377" customWidth="1"/>
    <col min="9483" max="9483" width="5.6640625" style="377" customWidth="1"/>
    <col min="9484" max="9728" width="9.33203125" style="377" customWidth="1"/>
    <col min="9729" max="9729" width="11.6640625" style="377" customWidth="1"/>
    <col min="9730" max="9731" width="9.33203125" style="377" customWidth="1"/>
    <col min="9732" max="9732" width="18.6640625" style="377" customWidth="1"/>
    <col min="9733" max="9734" width="9.33203125" style="377" customWidth="1"/>
    <col min="9735" max="9735" width="6.33203125" style="377" customWidth="1"/>
    <col min="9736" max="9736" width="13" style="377" hidden="1" customWidth="1"/>
    <col min="9737" max="9738" width="9.33203125" style="377" customWidth="1"/>
    <col min="9739" max="9739" width="5.6640625" style="377" customWidth="1"/>
    <col min="9740" max="9984" width="9.33203125" style="377" customWidth="1"/>
    <col min="9985" max="9985" width="11.6640625" style="377" customWidth="1"/>
    <col min="9986" max="9987" width="9.33203125" style="377" customWidth="1"/>
    <col min="9988" max="9988" width="18.6640625" style="377" customWidth="1"/>
    <col min="9989" max="9990" width="9.33203125" style="377" customWidth="1"/>
    <col min="9991" max="9991" width="6.33203125" style="377" customWidth="1"/>
    <col min="9992" max="9992" width="13" style="377" hidden="1" customWidth="1"/>
    <col min="9993" max="9994" width="9.33203125" style="377" customWidth="1"/>
    <col min="9995" max="9995" width="5.6640625" style="377" customWidth="1"/>
    <col min="9996" max="10240" width="9.33203125" style="377" customWidth="1"/>
    <col min="10241" max="10241" width="11.6640625" style="377" customWidth="1"/>
    <col min="10242" max="10243" width="9.33203125" style="377" customWidth="1"/>
    <col min="10244" max="10244" width="18.6640625" style="377" customWidth="1"/>
    <col min="10245" max="10246" width="9.33203125" style="377" customWidth="1"/>
    <col min="10247" max="10247" width="6.33203125" style="377" customWidth="1"/>
    <col min="10248" max="10248" width="13" style="377" hidden="1" customWidth="1"/>
    <col min="10249" max="10250" width="9.33203125" style="377" customWidth="1"/>
    <col min="10251" max="10251" width="5.6640625" style="377" customWidth="1"/>
    <col min="10252" max="10496" width="9.33203125" style="377" customWidth="1"/>
    <col min="10497" max="10497" width="11.6640625" style="377" customWidth="1"/>
    <col min="10498" max="10499" width="9.33203125" style="377" customWidth="1"/>
    <col min="10500" max="10500" width="18.6640625" style="377" customWidth="1"/>
    <col min="10501" max="10502" width="9.33203125" style="377" customWidth="1"/>
    <col min="10503" max="10503" width="6.33203125" style="377" customWidth="1"/>
    <col min="10504" max="10504" width="13" style="377" hidden="1" customWidth="1"/>
    <col min="10505" max="10506" width="9.33203125" style="377" customWidth="1"/>
    <col min="10507" max="10507" width="5.6640625" style="377" customWidth="1"/>
    <col min="10508" max="10752" width="9.33203125" style="377" customWidth="1"/>
    <col min="10753" max="10753" width="11.6640625" style="377" customWidth="1"/>
    <col min="10754" max="10755" width="9.33203125" style="377" customWidth="1"/>
    <col min="10756" max="10756" width="18.6640625" style="377" customWidth="1"/>
    <col min="10757" max="10758" width="9.33203125" style="377" customWidth="1"/>
    <col min="10759" max="10759" width="6.33203125" style="377" customWidth="1"/>
    <col min="10760" max="10760" width="13" style="377" hidden="1" customWidth="1"/>
    <col min="10761" max="10762" width="9.33203125" style="377" customWidth="1"/>
    <col min="10763" max="10763" width="5.6640625" style="377" customWidth="1"/>
    <col min="10764" max="11008" width="9.33203125" style="377" customWidth="1"/>
    <col min="11009" max="11009" width="11.6640625" style="377" customWidth="1"/>
    <col min="11010" max="11011" width="9.33203125" style="377" customWidth="1"/>
    <col min="11012" max="11012" width="18.6640625" style="377" customWidth="1"/>
    <col min="11013" max="11014" width="9.33203125" style="377" customWidth="1"/>
    <col min="11015" max="11015" width="6.33203125" style="377" customWidth="1"/>
    <col min="11016" max="11016" width="13" style="377" hidden="1" customWidth="1"/>
    <col min="11017" max="11018" width="9.33203125" style="377" customWidth="1"/>
    <col min="11019" max="11019" width="5.6640625" style="377" customWidth="1"/>
    <col min="11020" max="11264" width="9.33203125" style="377" customWidth="1"/>
    <col min="11265" max="11265" width="11.6640625" style="377" customWidth="1"/>
    <col min="11266" max="11267" width="9.33203125" style="377" customWidth="1"/>
    <col min="11268" max="11268" width="18.6640625" style="377" customWidth="1"/>
    <col min="11269" max="11270" width="9.33203125" style="377" customWidth="1"/>
    <col min="11271" max="11271" width="6.33203125" style="377" customWidth="1"/>
    <col min="11272" max="11272" width="13" style="377" hidden="1" customWidth="1"/>
    <col min="11273" max="11274" width="9.33203125" style="377" customWidth="1"/>
    <col min="11275" max="11275" width="5.6640625" style="377" customWidth="1"/>
    <col min="11276" max="11520" width="9.33203125" style="377" customWidth="1"/>
    <col min="11521" max="11521" width="11.6640625" style="377" customWidth="1"/>
    <col min="11522" max="11523" width="9.33203125" style="377" customWidth="1"/>
    <col min="11524" max="11524" width="18.6640625" style="377" customWidth="1"/>
    <col min="11525" max="11526" width="9.33203125" style="377" customWidth="1"/>
    <col min="11527" max="11527" width="6.33203125" style="377" customWidth="1"/>
    <col min="11528" max="11528" width="13" style="377" hidden="1" customWidth="1"/>
    <col min="11529" max="11530" width="9.33203125" style="377" customWidth="1"/>
    <col min="11531" max="11531" width="5.6640625" style="377" customWidth="1"/>
    <col min="11532" max="11776" width="9.33203125" style="377" customWidth="1"/>
    <col min="11777" max="11777" width="11.6640625" style="377" customWidth="1"/>
    <col min="11778" max="11779" width="9.33203125" style="377" customWidth="1"/>
    <col min="11780" max="11780" width="18.6640625" style="377" customWidth="1"/>
    <col min="11781" max="11782" width="9.33203125" style="377" customWidth="1"/>
    <col min="11783" max="11783" width="6.33203125" style="377" customWidth="1"/>
    <col min="11784" max="11784" width="13" style="377" hidden="1" customWidth="1"/>
    <col min="11785" max="11786" width="9.33203125" style="377" customWidth="1"/>
    <col min="11787" max="11787" width="5.6640625" style="377" customWidth="1"/>
    <col min="11788" max="12032" width="9.33203125" style="377" customWidth="1"/>
    <col min="12033" max="12033" width="11.6640625" style="377" customWidth="1"/>
    <col min="12034" max="12035" width="9.33203125" style="377" customWidth="1"/>
    <col min="12036" max="12036" width="18.6640625" style="377" customWidth="1"/>
    <col min="12037" max="12038" width="9.33203125" style="377" customWidth="1"/>
    <col min="12039" max="12039" width="6.33203125" style="377" customWidth="1"/>
    <col min="12040" max="12040" width="13" style="377" hidden="1" customWidth="1"/>
    <col min="12041" max="12042" width="9.33203125" style="377" customWidth="1"/>
    <col min="12043" max="12043" width="5.6640625" style="377" customWidth="1"/>
    <col min="12044" max="12288" width="9.33203125" style="377" customWidth="1"/>
    <col min="12289" max="12289" width="11.6640625" style="377" customWidth="1"/>
    <col min="12290" max="12291" width="9.33203125" style="377" customWidth="1"/>
    <col min="12292" max="12292" width="18.6640625" style="377" customWidth="1"/>
    <col min="12293" max="12294" width="9.33203125" style="377" customWidth="1"/>
    <col min="12295" max="12295" width="6.33203125" style="377" customWidth="1"/>
    <col min="12296" max="12296" width="13" style="377" hidden="1" customWidth="1"/>
    <col min="12297" max="12298" width="9.33203125" style="377" customWidth="1"/>
    <col min="12299" max="12299" width="5.6640625" style="377" customWidth="1"/>
    <col min="12300" max="12544" width="9.33203125" style="377" customWidth="1"/>
    <col min="12545" max="12545" width="11.6640625" style="377" customWidth="1"/>
    <col min="12546" max="12547" width="9.33203125" style="377" customWidth="1"/>
    <col min="12548" max="12548" width="18.6640625" style="377" customWidth="1"/>
    <col min="12549" max="12550" width="9.33203125" style="377" customWidth="1"/>
    <col min="12551" max="12551" width="6.33203125" style="377" customWidth="1"/>
    <col min="12552" max="12552" width="13" style="377" hidden="1" customWidth="1"/>
    <col min="12553" max="12554" width="9.33203125" style="377" customWidth="1"/>
    <col min="12555" max="12555" width="5.6640625" style="377" customWidth="1"/>
    <col min="12556" max="12800" width="9.33203125" style="377" customWidth="1"/>
    <col min="12801" max="12801" width="11.6640625" style="377" customWidth="1"/>
    <col min="12802" max="12803" width="9.33203125" style="377" customWidth="1"/>
    <col min="12804" max="12804" width="18.6640625" style="377" customWidth="1"/>
    <col min="12805" max="12806" width="9.33203125" style="377" customWidth="1"/>
    <col min="12807" max="12807" width="6.33203125" style="377" customWidth="1"/>
    <col min="12808" max="12808" width="13" style="377" hidden="1" customWidth="1"/>
    <col min="12809" max="12810" width="9.33203125" style="377" customWidth="1"/>
    <col min="12811" max="12811" width="5.6640625" style="377" customWidth="1"/>
    <col min="12812" max="13056" width="9.33203125" style="377" customWidth="1"/>
    <col min="13057" max="13057" width="11.6640625" style="377" customWidth="1"/>
    <col min="13058" max="13059" width="9.33203125" style="377" customWidth="1"/>
    <col min="13060" max="13060" width="18.6640625" style="377" customWidth="1"/>
    <col min="13061" max="13062" width="9.33203125" style="377" customWidth="1"/>
    <col min="13063" max="13063" width="6.33203125" style="377" customWidth="1"/>
    <col min="13064" max="13064" width="13" style="377" hidden="1" customWidth="1"/>
    <col min="13065" max="13066" width="9.33203125" style="377" customWidth="1"/>
    <col min="13067" max="13067" width="5.6640625" style="377" customWidth="1"/>
    <col min="13068" max="13312" width="9.33203125" style="377" customWidth="1"/>
    <col min="13313" max="13313" width="11.6640625" style="377" customWidth="1"/>
    <col min="13314" max="13315" width="9.33203125" style="377" customWidth="1"/>
    <col min="13316" max="13316" width="18.6640625" style="377" customWidth="1"/>
    <col min="13317" max="13318" width="9.33203125" style="377" customWidth="1"/>
    <col min="13319" max="13319" width="6.33203125" style="377" customWidth="1"/>
    <col min="13320" max="13320" width="13" style="377" hidden="1" customWidth="1"/>
    <col min="13321" max="13322" width="9.33203125" style="377" customWidth="1"/>
    <col min="13323" max="13323" width="5.6640625" style="377" customWidth="1"/>
    <col min="13324" max="13568" width="9.33203125" style="377" customWidth="1"/>
    <col min="13569" max="13569" width="11.6640625" style="377" customWidth="1"/>
    <col min="13570" max="13571" width="9.33203125" style="377" customWidth="1"/>
    <col min="13572" max="13572" width="18.6640625" style="377" customWidth="1"/>
    <col min="13573" max="13574" width="9.33203125" style="377" customWidth="1"/>
    <col min="13575" max="13575" width="6.33203125" style="377" customWidth="1"/>
    <col min="13576" max="13576" width="13" style="377" hidden="1" customWidth="1"/>
    <col min="13577" max="13578" width="9.33203125" style="377" customWidth="1"/>
    <col min="13579" max="13579" width="5.6640625" style="377" customWidth="1"/>
    <col min="13580" max="13824" width="9.33203125" style="377" customWidth="1"/>
    <col min="13825" max="13825" width="11.6640625" style="377" customWidth="1"/>
    <col min="13826" max="13827" width="9.33203125" style="377" customWidth="1"/>
    <col min="13828" max="13828" width="18.6640625" style="377" customWidth="1"/>
    <col min="13829" max="13830" width="9.33203125" style="377" customWidth="1"/>
    <col min="13831" max="13831" width="6.33203125" style="377" customWidth="1"/>
    <col min="13832" max="13832" width="13" style="377" hidden="1" customWidth="1"/>
    <col min="13833" max="13834" width="9.33203125" style="377" customWidth="1"/>
    <col min="13835" max="13835" width="5.6640625" style="377" customWidth="1"/>
    <col min="13836" max="14080" width="9.33203125" style="377" customWidth="1"/>
    <col min="14081" max="14081" width="11.6640625" style="377" customWidth="1"/>
    <col min="14082" max="14083" width="9.33203125" style="377" customWidth="1"/>
    <col min="14084" max="14084" width="18.6640625" style="377" customWidth="1"/>
    <col min="14085" max="14086" width="9.33203125" style="377" customWidth="1"/>
    <col min="14087" max="14087" width="6.33203125" style="377" customWidth="1"/>
    <col min="14088" max="14088" width="13" style="377" hidden="1" customWidth="1"/>
    <col min="14089" max="14090" width="9.33203125" style="377" customWidth="1"/>
    <col min="14091" max="14091" width="5.6640625" style="377" customWidth="1"/>
    <col min="14092" max="14336" width="9.33203125" style="377" customWidth="1"/>
    <col min="14337" max="14337" width="11.6640625" style="377" customWidth="1"/>
    <col min="14338" max="14339" width="9.33203125" style="377" customWidth="1"/>
    <col min="14340" max="14340" width="18.6640625" style="377" customWidth="1"/>
    <col min="14341" max="14342" width="9.33203125" style="377" customWidth="1"/>
    <col min="14343" max="14343" width="6.33203125" style="377" customWidth="1"/>
    <col min="14344" max="14344" width="13" style="377" hidden="1" customWidth="1"/>
    <col min="14345" max="14346" width="9.33203125" style="377" customWidth="1"/>
    <col min="14347" max="14347" width="5.6640625" style="377" customWidth="1"/>
    <col min="14348" max="14592" width="9.33203125" style="377" customWidth="1"/>
    <col min="14593" max="14593" width="11.6640625" style="377" customWidth="1"/>
    <col min="14594" max="14595" width="9.33203125" style="377" customWidth="1"/>
    <col min="14596" max="14596" width="18.6640625" style="377" customWidth="1"/>
    <col min="14597" max="14598" width="9.33203125" style="377" customWidth="1"/>
    <col min="14599" max="14599" width="6.33203125" style="377" customWidth="1"/>
    <col min="14600" max="14600" width="13" style="377" hidden="1" customWidth="1"/>
    <col min="14601" max="14602" width="9.33203125" style="377" customWidth="1"/>
    <col min="14603" max="14603" width="5.6640625" style="377" customWidth="1"/>
    <col min="14604" max="14848" width="9.33203125" style="377" customWidth="1"/>
    <col min="14849" max="14849" width="11.6640625" style="377" customWidth="1"/>
    <col min="14850" max="14851" width="9.33203125" style="377" customWidth="1"/>
    <col min="14852" max="14852" width="18.6640625" style="377" customWidth="1"/>
    <col min="14853" max="14854" width="9.33203125" style="377" customWidth="1"/>
    <col min="14855" max="14855" width="6.33203125" style="377" customWidth="1"/>
    <col min="14856" max="14856" width="13" style="377" hidden="1" customWidth="1"/>
    <col min="14857" max="14858" width="9.33203125" style="377" customWidth="1"/>
    <col min="14859" max="14859" width="5.6640625" style="377" customWidth="1"/>
    <col min="14860" max="15104" width="9.33203125" style="377" customWidth="1"/>
    <col min="15105" max="15105" width="11.6640625" style="377" customWidth="1"/>
    <col min="15106" max="15107" width="9.33203125" style="377" customWidth="1"/>
    <col min="15108" max="15108" width="18.6640625" style="377" customWidth="1"/>
    <col min="15109" max="15110" width="9.33203125" style="377" customWidth="1"/>
    <col min="15111" max="15111" width="6.33203125" style="377" customWidth="1"/>
    <col min="15112" max="15112" width="13" style="377" hidden="1" customWidth="1"/>
    <col min="15113" max="15114" width="9.33203125" style="377" customWidth="1"/>
    <col min="15115" max="15115" width="5.6640625" style="377" customWidth="1"/>
    <col min="15116" max="15360" width="9.33203125" style="377" customWidth="1"/>
    <col min="15361" max="15361" width="11.6640625" style="377" customWidth="1"/>
    <col min="15362" max="15363" width="9.33203125" style="377" customWidth="1"/>
    <col min="15364" max="15364" width="18.6640625" style="377" customWidth="1"/>
    <col min="15365" max="15366" width="9.33203125" style="377" customWidth="1"/>
    <col min="15367" max="15367" width="6.33203125" style="377" customWidth="1"/>
    <col min="15368" max="15368" width="13" style="377" hidden="1" customWidth="1"/>
    <col min="15369" max="15370" width="9.33203125" style="377" customWidth="1"/>
    <col min="15371" max="15371" width="5.6640625" style="377" customWidth="1"/>
    <col min="15372" max="15616" width="9.33203125" style="377" customWidth="1"/>
    <col min="15617" max="15617" width="11.6640625" style="377" customWidth="1"/>
    <col min="15618" max="15619" width="9.33203125" style="377" customWidth="1"/>
    <col min="15620" max="15620" width="18.6640625" style="377" customWidth="1"/>
    <col min="15621" max="15622" width="9.33203125" style="377" customWidth="1"/>
    <col min="15623" max="15623" width="6.33203125" style="377" customWidth="1"/>
    <col min="15624" max="15624" width="13" style="377" hidden="1" customWidth="1"/>
    <col min="15625" max="15626" width="9.33203125" style="377" customWidth="1"/>
    <col min="15627" max="15627" width="5.6640625" style="377" customWidth="1"/>
    <col min="15628" max="15872" width="9.33203125" style="377" customWidth="1"/>
    <col min="15873" max="15873" width="11.6640625" style="377" customWidth="1"/>
    <col min="15874" max="15875" width="9.33203125" style="377" customWidth="1"/>
    <col min="15876" max="15876" width="18.6640625" style="377" customWidth="1"/>
    <col min="15877" max="15878" width="9.33203125" style="377" customWidth="1"/>
    <col min="15879" max="15879" width="6.33203125" style="377" customWidth="1"/>
    <col min="15880" max="15880" width="13" style="377" hidden="1" customWidth="1"/>
    <col min="15881" max="15882" width="9.33203125" style="377" customWidth="1"/>
    <col min="15883" max="15883" width="5.6640625" style="377" customWidth="1"/>
    <col min="15884" max="16128" width="9.33203125" style="377" customWidth="1"/>
    <col min="16129" max="16129" width="11.6640625" style="377" customWidth="1"/>
    <col min="16130" max="16131" width="9.33203125" style="377" customWidth="1"/>
    <col min="16132" max="16132" width="18.6640625" style="377" customWidth="1"/>
    <col min="16133" max="16134" width="9.33203125" style="377" customWidth="1"/>
    <col min="16135" max="16135" width="6.33203125" style="377" customWidth="1"/>
    <col min="16136" max="16136" width="13" style="377" hidden="1" customWidth="1"/>
    <col min="16137" max="16138" width="9.33203125" style="377" customWidth="1"/>
    <col min="16139" max="16139" width="5.6640625" style="377" customWidth="1"/>
    <col min="16140" max="16384" width="9.33203125" style="377" customWidth="1"/>
  </cols>
  <sheetData>
    <row r="1" spans="1:11" ht="15" customHeight="1" x14ac:dyDescent="0.25">
      <c r="A1" s="423" t="s">
        <v>217</v>
      </c>
      <c r="B1" s="420"/>
      <c r="C1" s="420"/>
      <c r="D1" s="420"/>
      <c r="E1" s="420"/>
      <c r="F1" s="420"/>
      <c r="G1" s="420"/>
      <c r="H1" s="420"/>
      <c r="I1" s="420"/>
      <c r="J1" s="420"/>
      <c r="K1" s="420"/>
    </row>
    <row r="2" spans="1:11" ht="15" customHeight="1" x14ac:dyDescent="0.25">
      <c r="A2" s="423" t="s">
        <v>218</v>
      </c>
      <c r="B2" s="420"/>
      <c r="C2" s="420"/>
      <c r="D2" s="420"/>
      <c r="E2" s="420"/>
      <c r="F2" s="420"/>
      <c r="G2" s="420"/>
      <c r="H2" s="420"/>
      <c r="I2" s="420"/>
      <c r="J2" s="420"/>
      <c r="K2" s="420"/>
    </row>
    <row r="3" spans="1:11" ht="15" customHeight="1" x14ac:dyDescent="0.25">
      <c r="A3" s="423" t="s">
        <v>219</v>
      </c>
      <c r="B3" s="420"/>
      <c r="C3" s="420"/>
      <c r="D3" s="420"/>
      <c r="E3" s="420"/>
      <c r="F3" s="420"/>
      <c r="G3" s="420"/>
      <c r="H3" s="420"/>
      <c r="I3" s="420"/>
      <c r="J3" s="420"/>
      <c r="K3" s="420"/>
    </row>
    <row r="4" spans="1:11" x14ac:dyDescent="0.25">
      <c r="A4" s="432"/>
      <c r="B4" s="420"/>
      <c r="C4" s="420"/>
      <c r="D4" s="420"/>
      <c r="E4" s="420"/>
      <c r="F4" s="420"/>
      <c r="G4" s="420"/>
      <c r="H4" s="420"/>
      <c r="I4" s="420"/>
      <c r="J4" s="420"/>
      <c r="K4" s="420"/>
    </row>
    <row r="5" spans="1:11" ht="15" customHeight="1" x14ac:dyDescent="0.3">
      <c r="A5" s="430" t="s">
        <v>220</v>
      </c>
      <c r="B5" s="399"/>
      <c r="C5" s="399"/>
      <c r="D5" s="400"/>
      <c r="E5" s="424" t="s">
        <v>221</v>
      </c>
      <c r="F5" s="399"/>
      <c r="G5" s="400"/>
      <c r="H5" s="379"/>
      <c r="I5" s="424">
        <f>'Sponsor Cost'!B2</f>
        <v>0</v>
      </c>
      <c r="J5" s="399"/>
      <c r="K5" s="400"/>
    </row>
    <row r="6" spans="1:11" ht="15" customHeight="1" x14ac:dyDescent="0.3">
      <c r="A6" s="380" t="s">
        <v>222</v>
      </c>
      <c r="B6" s="433">
        <f>'Sponsor Cost'!B3</f>
        <v>0</v>
      </c>
      <c r="C6" s="399"/>
      <c r="D6" s="399"/>
      <c r="E6" s="399"/>
      <c r="F6" s="399"/>
      <c r="G6" s="399"/>
      <c r="H6" s="399"/>
      <c r="I6" s="399"/>
      <c r="J6" s="399"/>
      <c r="K6" s="400"/>
    </row>
    <row r="7" spans="1:11" ht="15" customHeight="1" x14ac:dyDescent="0.3">
      <c r="A7" s="424" t="s">
        <v>223</v>
      </c>
      <c r="B7" s="400"/>
      <c r="C7" s="430">
        <f>'Sponsor Cost'!B4</f>
        <v>0</v>
      </c>
      <c r="D7" s="399"/>
      <c r="E7" s="399"/>
      <c r="F7" s="399"/>
      <c r="G7" s="399"/>
      <c r="H7" s="399"/>
      <c r="I7" s="399"/>
      <c r="J7" s="399"/>
      <c r="K7" s="400"/>
    </row>
    <row r="8" spans="1:11" ht="15" customHeight="1" x14ac:dyDescent="0.25">
      <c r="A8" s="423"/>
      <c r="B8" s="420"/>
      <c r="C8" s="420"/>
      <c r="D8" s="420"/>
      <c r="E8" s="420"/>
      <c r="F8" s="420"/>
      <c r="G8" s="420"/>
      <c r="H8" s="420"/>
      <c r="I8" s="420"/>
      <c r="J8" s="420"/>
      <c r="K8" s="420"/>
    </row>
    <row r="9" spans="1:11" ht="15" customHeight="1" x14ac:dyDescent="0.3">
      <c r="A9" s="424" t="s">
        <v>224</v>
      </c>
      <c r="B9" s="399"/>
      <c r="C9" s="399"/>
      <c r="D9" s="400"/>
      <c r="E9" s="424" t="s">
        <v>225</v>
      </c>
      <c r="F9" s="399"/>
      <c r="G9" s="399"/>
      <c r="H9" s="400"/>
      <c r="I9" s="424" t="s">
        <v>226</v>
      </c>
      <c r="J9" s="399"/>
      <c r="K9" s="400"/>
    </row>
    <row r="10" spans="1:11" ht="15" customHeight="1" x14ac:dyDescent="0.3">
      <c r="A10" s="425" t="s">
        <v>227</v>
      </c>
      <c r="B10" s="399"/>
      <c r="C10" s="399"/>
      <c r="D10" s="400"/>
      <c r="E10" s="422">
        <v>0</v>
      </c>
      <c r="F10" s="399"/>
      <c r="G10" s="399"/>
      <c r="H10" s="400"/>
      <c r="I10" s="421">
        <v>611100</v>
      </c>
      <c r="J10" s="399"/>
      <c r="K10" s="400"/>
    </row>
    <row r="11" spans="1:11" ht="15" customHeight="1" x14ac:dyDescent="0.3">
      <c r="A11" s="425" t="s">
        <v>228</v>
      </c>
      <c r="B11" s="399"/>
      <c r="C11" s="399"/>
      <c r="D11" s="400"/>
      <c r="E11" s="422">
        <v>0</v>
      </c>
      <c r="F11" s="399"/>
      <c r="G11" s="399"/>
      <c r="H11" s="400"/>
      <c r="I11" s="421">
        <v>614581</v>
      </c>
      <c r="J11" s="399"/>
      <c r="K11" s="400"/>
    </row>
    <row r="12" spans="1:11" ht="15" customHeight="1" x14ac:dyDescent="0.3">
      <c r="A12" s="425" t="s">
        <v>229</v>
      </c>
      <c r="B12" s="399"/>
      <c r="C12" s="399"/>
      <c r="D12" s="400"/>
      <c r="E12" s="422">
        <v>0</v>
      </c>
      <c r="F12" s="399"/>
      <c r="G12" s="399"/>
      <c r="H12" s="400"/>
      <c r="I12" s="421">
        <v>618100</v>
      </c>
      <c r="J12" s="399"/>
      <c r="K12" s="400"/>
    </row>
    <row r="13" spans="1:11" ht="15" customHeight="1" x14ac:dyDescent="0.3">
      <c r="A13" s="425" t="s">
        <v>230</v>
      </c>
      <c r="B13" s="399"/>
      <c r="C13" s="399"/>
      <c r="D13" s="400"/>
      <c r="E13" s="422">
        <v>0</v>
      </c>
      <c r="F13" s="399"/>
      <c r="G13" s="399"/>
      <c r="H13" s="400"/>
      <c r="I13" s="421">
        <v>618300</v>
      </c>
      <c r="J13" s="399"/>
      <c r="K13" s="400"/>
    </row>
    <row r="14" spans="1:11" ht="15" customHeight="1" x14ac:dyDescent="0.3">
      <c r="A14" s="425" t="s">
        <v>231</v>
      </c>
      <c r="B14" s="399"/>
      <c r="C14" s="399"/>
      <c r="D14" s="400"/>
      <c r="E14" s="422">
        <v>0</v>
      </c>
      <c r="F14" s="399"/>
      <c r="G14" s="399"/>
      <c r="H14" s="400"/>
      <c r="I14" s="421">
        <v>618700</v>
      </c>
      <c r="J14" s="399"/>
      <c r="K14" s="400"/>
    </row>
    <row r="15" spans="1:11" ht="15" customHeight="1" x14ac:dyDescent="0.3">
      <c r="A15" s="425" t="s">
        <v>232</v>
      </c>
      <c r="B15" s="399"/>
      <c r="C15" s="399"/>
      <c r="D15" s="400"/>
      <c r="E15" s="422">
        <v>0</v>
      </c>
      <c r="F15" s="399"/>
      <c r="G15" s="399"/>
      <c r="H15" s="400"/>
      <c r="I15" s="421" t="s">
        <v>233</v>
      </c>
      <c r="J15" s="399"/>
      <c r="K15" s="400"/>
    </row>
    <row r="16" spans="1:11" ht="15" customHeight="1" x14ac:dyDescent="0.3">
      <c r="A16" s="425" t="s">
        <v>234</v>
      </c>
      <c r="B16" s="399"/>
      <c r="C16" s="399"/>
      <c r="D16" s="400"/>
      <c r="E16" s="422">
        <v>0</v>
      </c>
      <c r="F16" s="399"/>
      <c r="G16" s="399"/>
      <c r="H16" s="400"/>
      <c r="I16" s="421" t="s">
        <v>235</v>
      </c>
      <c r="J16" s="399"/>
      <c r="K16" s="400"/>
    </row>
    <row r="17" spans="1:11" ht="15" customHeight="1" x14ac:dyDescent="0.3">
      <c r="A17" s="425" t="s">
        <v>236</v>
      </c>
      <c r="B17" s="399"/>
      <c r="C17" s="399"/>
      <c r="D17" s="400"/>
      <c r="E17" s="422">
        <v>0</v>
      </c>
      <c r="F17" s="399"/>
      <c r="G17" s="399"/>
      <c r="H17" s="400"/>
      <c r="I17" s="421" t="s">
        <v>237</v>
      </c>
      <c r="J17" s="399"/>
      <c r="K17" s="400"/>
    </row>
    <row r="18" spans="1:11" ht="15" customHeight="1" x14ac:dyDescent="0.3">
      <c r="A18" s="425" t="s">
        <v>198</v>
      </c>
      <c r="B18" s="399"/>
      <c r="C18" s="399"/>
      <c r="D18" s="400"/>
      <c r="E18" s="422">
        <v>0</v>
      </c>
      <c r="F18" s="399"/>
      <c r="G18" s="399"/>
      <c r="H18" s="400"/>
      <c r="I18" s="421" t="s">
        <v>238</v>
      </c>
      <c r="J18" s="399"/>
      <c r="K18" s="400"/>
    </row>
    <row r="19" spans="1:11" ht="15" customHeight="1" x14ac:dyDescent="0.3">
      <c r="A19" s="425" t="s">
        <v>239</v>
      </c>
      <c r="B19" s="399"/>
      <c r="C19" s="399"/>
      <c r="D19" s="400"/>
      <c r="E19" s="422">
        <v>0</v>
      </c>
      <c r="F19" s="399"/>
      <c r="G19" s="399"/>
      <c r="H19" s="400"/>
      <c r="I19" s="421" t="s">
        <v>240</v>
      </c>
      <c r="J19" s="399"/>
      <c r="K19" s="400"/>
    </row>
    <row r="20" spans="1:11" ht="15" customHeight="1" x14ac:dyDescent="0.3">
      <c r="A20" s="425" t="s">
        <v>241</v>
      </c>
      <c r="B20" s="399"/>
      <c r="C20" s="399"/>
      <c r="D20" s="400"/>
      <c r="E20" s="422">
        <v>0</v>
      </c>
      <c r="F20" s="399"/>
      <c r="G20" s="399"/>
      <c r="H20" s="400"/>
      <c r="I20" s="421" t="s">
        <v>242</v>
      </c>
      <c r="J20" s="399"/>
      <c r="K20" s="400"/>
    </row>
    <row r="21" spans="1:11" ht="15" customHeight="1" x14ac:dyDescent="0.3">
      <c r="A21" s="425" t="s">
        <v>243</v>
      </c>
      <c r="B21" s="399"/>
      <c r="C21" s="399"/>
      <c r="D21" s="400"/>
      <c r="E21" s="422">
        <v>0</v>
      </c>
      <c r="F21" s="399"/>
      <c r="G21" s="399"/>
      <c r="H21" s="400"/>
      <c r="I21" s="421">
        <v>614590</v>
      </c>
      <c r="J21" s="399"/>
      <c r="K21" s="400"/>
    </row>
    <row r="22" spans="1:11" ht="15" customHeight="1" x14ac:dyDescent="0.3">
      <c r="A22" s="425" t="s">
        <v>244</v>
      </c>
      <c r="B22" s="399"/>
      <c r="C22" s="399"/>
      <c r="D22" s="400"/>
      <c r="E22" s="422">
        <v>0</v>
      </c>
      <c r="F22" s="399"/>
      <c r="G22" s="399"/>
      <c r="H22" s="400"/>
      <c r="I22" s="421">
        <v>612100</v>
      </c>
      <c r="J22" s="399"/>
      <c r="K22" s="400"/>
    </row>
    <row r="23" spans="1:11" ht="15" customHeight="1" x14ac:dyDescent="0.3">
      <c r="A23" s="425" t="s">
        <v>245</v>
      </c>
      <c r="B23" s="399"/>
      <c r="C23" s="399"/>
      <c r="D23" s="400"/>
      <c r="E23" s="422">
        <v>0</v>
      </c>
      <c r="F23" s="399"/>
      <c r="G23" s="399"/>
      <c r="H23" s="400"/>
      <c r="I23" s="421" t="s">
        <v>246</v>
      </c>
      <c r="J23" s="399"/>
      <c r="K23" s="400"/>
    </row>
    <row r="24" spans="1:11" ht="15" customHeight="1" x14ac:dyDescent="0.3">
      <c r="A24" s="425" t="s">
        <v>197</v>
      </c>
      <c r="B24" s="399"/>
      <c r="C24" s="399"/>
      <c r="D24" s="400"/>
      <c r="E24" s="422">
        <v>0</v>
      </c>
      <c r="F24" s="399"/>
      <c r="G24" s="399"/>
      <c r="H24" s="400"/>
      <c r="I24" s="421" t="s">
        <v>247</v>
      </c>
      <c r="J24" s="399"/>
      <c r="K24" s="400"/>
    </row>
    <row r="25" spans="1:11" ht="15" customHeight="1" x14ac:dyDescent="0.3">
      <c r="A25" s="425" t="s">
        <v>248</v>
      </c>
      <c r="B25" s="399"/>
      <c r="C25" s="399"/>
      <c r="D25" s="400"/>
      <c r="E25" s="422">
        <v>0</v>
      </c>
      <c r="F25" s="399"/>
      <c r="G25" s="399"/>
      <c r="H25" s="400"/>
      <c r="I25" s="421" t="s">
        <v>249</v>
      </c>
      <c r="J25" s="399"/>
      <c r="K25" s="400"/>
    </row>
    <row r="26" spans="1:11" ht="15" customHeight="1" x14ac:dyDescent="0.3">
      <c r="A26" s="425"/>
      <c r="B26" s="399"/>
      <c r="C26" s="399"/>
      <c r="D26" s="400"/>
      <c r="E26" s="422"/>
      <c r="F26" s="399"/>
      <c r="G26" s="399"/>
      <c r="H26" s="400"/>
      <c r="I26" s="421"/>
      <c r="J26" s="399"/>
      <c r="K26" s="400"/>
    </row>
    <row r="27" spans="1:11" ht="15" customHeight="1" x14ac:dyDescent="0.3">
      <c r="A27" s="425"/>
      <c r="B27" s="399"/>
      <c r="C27" s="399"/>
      <c r="D27" s="400"/>
      <c r="E27" s="422"/>
      <c r="F27" s="399"/>
      <c r="G27" s="399"/>
      <c r="H27" s="400"/>
      <c r="I27" s="421"/>
      <c r="J27" s="399"/>
      <c r="K27" s="400"/>
    </row>
    <row r="28" spans="1:11" ht="15" customHeight="1" x14ac:dyDescent="0.3">
      <c r="A28" s="425"/>
      <c r="B28" s="399"/>
      <c r="C28" s="399"/>
      <c r="D28" s="400"/>
      <c r="E28" s="422"/>
      <c r="F28" s="399"/>
      <c r="G28" s="399"/>
      <c r="H28" s="400"/>
      <c r="I28" s="421"/>
      <c r="J28" s="399"/>
      <c r="K28" s="400"/>
    </row>
    <row r="29" spans="1:11" ht="15" customHeight="1" x14ac:dyDescent="0.3">
      <c r="A29" s="425"/>
      <c r="B29" s="399"/>
      <c r="C29" s="399"/>
      <c r="D29" s="400"/>
      <c r="E29" s="422"/>
      <c r="F29" s="399"/>
      <c r="G29" s="399"/>
      <c r="H29" s="400"/>
      <c r="I29" s="421"/>
      <c r="J29" s="399"/>
      <c r="K29" s="400"/>
    </row>
    <row r="30" spans="1:11" ht="15" customHeight="1" x14ac:dyDescent="0.3">
      <c r="A30" s="425"/>
      <c r="B30" s="399"/>
      <c r="C30" s="399"/>
      <c r="D30" s="400"/>
      <c r="E30" s="422"/>
      <c r="F30" s="399"/>
      <c r="G30" s="399"/>
      <c r="H30" s="400"/>
      <c r="I30" s="421"/>
      <c r="J30" s="399"/>
      <c r="K30" s="400"/>
    </row>
    <row r="31" spans="1:11" ht="15" customHeight="1" x14ac:dyDescent="0.3">
      <c r="A31" s="425"/>
      <c r="B31" s="399"/>
      <c r="C31" s="399"/>
      <c r="D31" s="400"/>
      <c r="E31" s="422"/>
      <c r="F31" s="399"/>
      <c r="G31" s="399"/>
      <c r="H31" s="400"/>
      <c r="I31" s="421"/>
      <c r="J31" s="399"/>
      <c r="K31" s="400"/>
    </row>
    <row r="32" spans="1:11" ht="15" customHeight="1" x14ac:dyDescent="0.3">
      <c r="A32" s="425"/>
      <c r="B32" s="399"/>
      <c r="C32" s="399"/>
      <c r="D32" s="400"/>
      <c r="E32" s="422"/>
      <c r="F32" s="399"/>
      <c r="G32" s="399"/>
      <c r="H32" s="400"/>
      <c r="I32" s="421"/>
      <c r="J32" s="399"/>
      <c r="K32" s="400"/>
    </row>
    <row r="33" spans="1:11" ht="15" customHeight="1" x14ac:dyDescent="0.3">
      <c r="A33" s="425"/>
      <c r="B33" s="399"/>
      <c r="C33" s="399"/>
      <c r="D33" s="400"/>
      <c r="E33" s="422"/>
      <c r="F33" s="399"/>
      <c r="G33" s="399"/>
      <c r="H33" s="400"/>
      <c r="I33" s="421"/>
      <c r="J33" s="399"/>
      <c r="K33" s="400"/>
    </row>
    <row r="34" spans="1:11" ht="15" customHeight="1" x14ac:dyDescent="0.3">
      <c r="A34" s="425"/>
      <c r="B34" s="399"/>
      <c r="C34" s="399"/>
      <c r="D34" s="400"/>
      <c r="E34" s="422"/>
      <c r="F34" s="399"/>
      <c r="G34" s="399"/>
      <c r="H34" s="400"/>
      <c r="I34" s="421"/>
      <c r="J34" s="399"/>
      <c r="K34" s="400"/>
    </row>
    <row r="35" spans="1:11" ht="15" customHeight="1" x14ac:dyDescent="0.3">
      <c r="A35" s="425"/>
      <c r="B35" s="399"/>
      <c r="C35" s="399"/>
      <c r="D35" s="400"/>
      <c r="E35" s="422"/>
      <c r="F35" s="399"/>
      <c r="G35" s="399"/>
      <c r="H35" s="400"/>
      <c r="I35" s="421"/>
      <c r="J35" s="399"/>
      <c r="K35" s="400"/>
    </row>
    <row r="36" spans="1:11" ht="15" customHeight="1" x14ac:dyDescent="0.3">
      <c r="A36" s="425"/>
      <c r="B36" s="399"/>
      <c r="C36" s="399"/>
      <c r="D36" s="400"/>
      <c r="E36" s="422"/>
      <c r="F36" s="399"/>
      <c r="G36" s="399"/>
      <c r="H36" s="400"/>
      <c r="I36" s="421"/>
      <c r="J36" s="399"/>
      <c r="K36" s="400"/>
    </row>
    <row r="37" spans="1:11" ht="15" customHeight="1" x14ac:dyDescent="0.3">
      <c r="A37" s="429" t="s">
        <v>75</v>
      </c>
      <c r="B37" s="399"/>
      <c r="C37" s="399"/>
      <c r="D37" s="400"/>
      <c r="E37" s="431">
        <f>'Sponsor Cost'!G45</f>
        <v>0</v>
      </c>
      <c r="F37" s="399"/>
      <c r="G37" s="399"/>
      <c r="H37" s="400"/>
      <c r="I37" s="421"/>
      <c r="J37" s="399"/>
      <c r="K37" s="400"/>
    </row>
    <row r="38" spans="1:11" ht="15" customHeight="1" x14ac:dyDescent="0.3">
      <c r="A38" s="429" t="s">
        <v>250</v>
      </c>
      <c r="B38" s="399"/>
      <c r="C38" s="399"/>
      <c r="D38" s="400"/>
      <c r="E38" s="431">
        <f ca="1">'Sponsor Cost'!G49</f>
        <v>0</v>
      </c>
      <c r="F38" s="399"/>
      <c r="G38" s="399"/>
      <c r="H38" s="400"/>
      <c r="I38" s="421" t="s">
        <v>251</v>
      </c>
      <c r="J38" s="399"/>
      <c r="K38" s="400"/>
    </row>
    <row r="39" spans="1:11" ht="15" customHeight="1" x14ac:dyDescent="0.3">
      <c r="A39" s="429" t="s">
        <v>252</v>
      </c>
      <c r="B39" s="399"/>
      <c r="C39" s="399"/>
      <c r="D39" s="400"/>
      <c r="E39" s="431">
        <f ca="1">E38+E37</f>
        <v>0</v>
      </c>
      <c r="F39" s="399"/>
      <c r="G39" s="399"/>
      <c r="H39" s="400"/>
      <c r="I39" s="421"/>
      <c r="J39" s="399"/>
      <c r="K39" s="400"/>
    </row>
    <row r="40" spans="1:11" ht="15" customHeight="1" x14ac:dyDescent="0.3">
      <c r="A40" s="427" t="s">
        <v>253</v>
      </c>
      <c r="B40" s="428"/>
      <c r="C40" s="428"/>
      <c r="D40" s="428"/>
      <c r="E40" s="428"/>
      <c r="F40" s="428"/>
      <c r="G40" s="428"/>
      <c r="H40" s="428"/>
      <c r="I40" s="428"/>
      <c r="J40" s="428"/>
      <c r="K40" s="428"/>
    </row>
    <row r="41" spans="1:11" x14ac:dyDescent="0.25">
      <c r="A41" s="426"/>
      <c r="B41" s="420"/>
      <c r="C41" s="420"/>
      <c r="D41" s="420"/>
      <c r="E41" s="420"/>
      <c r="F41" s="420"/>
      <c r="G41" s="420"/>
      <c r="H41" s="420"/>
      <c r="I41" s="420"/>
      <c r="J41" s="420"/>
      <c r="K41" s="420"/>
    </row>
    <row r="42" spans="1:11" x14ac:dyDescent="0.25">
      <c r="A42" s="426"/>
      <c r="B42" s="420"/>
      <c r="C42" s="420"/>
      <c r="D42" s="420"/>
      <c r="E42" s="420"/>
      <c r="F42" s="420"/>
      <c r="G42" s="420"/>
      <c r="H42" s="420"/>
      <c r="I42" s="420"/>
      <c r="J42" s="420"/>
      <c r="K42" s="420"/>
    </row>
    <row r="43" spans="1:11" x14ac:dyDescent="0.25">
      <c r="A43" s="426"/>
      <c r="B43" s="420"/>
      <c r="C43" s="420"/>
      <c r="D43" s="420"/>
      <c r="E43" s="420"/>
      <c r="F43" s="420"/>
      <c r="G43" s="420"/>
      <c r="H43" s="420"/>
      <c r="I43" s="420"/>
      <c r="J43" s="420"/>
      <c r="K43" s="420"/>
    </row>
    <row r="44" spans="1:11" x14ac:dyDescent="0.25">
      <c r="A44" s="426"/>
      <c r="B44" s="420"/>
      <c r="C44" s="420"/>
      <c r="D44" s="420"/>
      <c r="E44" s="420"/>
      <c r="F44" s="420"/>
      <c r="G44" s="420"/>
      <c r="H44" s="420"/>
      <c r="I44" s="420"/>
      <c r="J44" s="420"/>
      <c r="K44" s="420"/>
    </row>
    <row r="45" spans="1:11" x14ac:dyDescent="0.25">
      <c r="A45" s="426"/>
      <c r="B45" s="420"/>
      <c r="C45" s="420"/>
      <c r="D45" s="420"/>
      <c r="E45" s="420"/>
      <c r="F45" s="420"/>
      <c r="G45" s="420"/>
      <c r="H45" s="420"/>
      <c r="I45" s="420"/>
      <c r="J45" s="420"/>
      <c r="K45" s="420"/>
    </row>
    <row r="46" spans="1:11" ht="15" customHeight="1" x14ac:dyDescent="0.25">
      <c r="A46" s="419" t="s">
        <v>254</v>
      </c>
      <c r="B46" s="420"/>
      <c r="C46" s="420"/>
      <c r="D46" s="420"/>
      <c r="E46" s="420"/>
      <c r="F46" s="420"/>
      <c r="G46" s="420"/>
      <c r="H46" s="420"/>
      <c r="I46" s="419" t="s">
        <v>255</v>
      </c>
      <c r="J46" s="420"/>
      <c r="K46" s="420"/>
    </row>
    <row r="47" spans="1:11" ht="15" customHeight="1" x14ac:dyDescent="0.25">
      <c r="A47" s="378"/>
      <c r="B47" s="378"/>
      <c r="C47" s="378"/>
      <c r="D47" s="378"/>
      <c r="E47" s="378"/>
      <c r="F47" s="378"/>
      <c r="G47" s="378"/>
      <c r="H47" s="378"/>
      <c r="I47" s="378"/>
      <c r="J47" s="378"/>
      <c r="K47" s="378"/>
    </row>
    <row r="48" spans="1:11" x14ac:dyDescent="0.25">
      <c r="A48" s="432"/>
      <c r="B48" s="420"/>
      <c r="C48" s="420"/>
      <c r="D48" s="420"/>
      <c r="E48" s="420"/>
      <c r="F48" s="420"/>
      <c r="G48" s="420"/>
      <c r="H48" s="420"/>
      <c r="I48" s="420"/>
      <c r="J48" s="420"/>
      <c r="K48" s="420"/>
    </row>
    <row r="49" spans="1:11" ht="15" customHeight="1" x14ac:dyDescent="0.25">
      <c r="A49" s="381"/>
      <c r="B49" s="381"/>
      <c r="C49" s="381"/>
      <c r="D49" s="381"/>
      <c r="E49" s="381"/>
      <c r="F49" s="381"/>
      <c r="G49" s="381"/>
      <c r="H49" s="381"/>
      <c r="I49" s="381"/>
      <c r="J49" s="381"/>
      <c r="K49" s="381"/>
    </row>
  </sheetData>
  <mergeCells count="113">
    <mergeCell ref="A2:K2"/>
    <mergeCell ref="I34:K34"/>
    <mergeCell ref="A42:K42"/>
    <mergeCell ref="A16:D16"/>
    <mergeCell ref="E10:H10"/>
    <mergeCell ref="A27:D27"/>
    <mergeCell ref="I36:K36"/>
    <mergeCell ref="E34:H34"/>
    <mergeCell ref="A33:D33"/>
    <mergeCell ref="E27:H27"/>
    <mergeCell ref="E36:H36"/>
    <mergeCell ref="A17:D17"/>
    <mergeCell ref="E11:H11"/>
    <mergeCell ref="A9:D9"/>
    <mergeCell ref="A11:D11"/>
    <mergeCell ref="A8:K8"/>
    <mergeCell ref="E25:H25"/>
    <mergeCell ref="A10:D10"/>
    <mergeCell ref="A5:D5"/>
    <mergeCell ref="B6:K6"/>
    <mergeCell ref="E38:H38"/>
    <mergeCell ref="I27:K27"/>
    <mergeCell ref="A26:D26"/>
    <mergeCell ref="I25:K25"/>
    <mergeCell ref="E26:H26"/>
    <mergeCell ref="E16:H16"/>
    <mergeCell ref="A13:D13"/>
    <mergeCell ref="I24:K24"/>
    <mergeCell ref="A31:D31"/>
    <mergeCell ref="A7:B7"/>
    <mergeCell ref="I10:K10"/>
    <mergeCell ref="E37:H37"/>
    <mergeCell ref="E13:H13"/>
    <mergeCell ref="A37:D37"/>
    <mergeCell ref="I18:K18"/>
    <mergeCell ref="I33:K33"/>
    <mergeCell ref="I35:K35"/>
    <mergeCell ref="E33:H33"/>
    <mergeCell ref="I32:K32"/>
    <mergeCell ref="A20:D20"/>
    <mergeCell ref="A29:D29"/>
    <mergeCell ref="A48:K48"/>
    <mergeCell ref="A22:D22"/>
    <mergeCell ref="I22:K22"/>
    <mergeCell ref="I28:K28"/>
    <mergeCell ref="A35:D35"/>
    <mergeCell ref="I37:K37"/>
    <mergeCell ref="I12:K12"/>
    <mergeCell ref="A19:D19"/>
    <mergeCell ref="I21:K21"/>
    <mergeCell ref="A28:D28"/>
    <mergeCell ref="E22:H22"/>
    <mergeCell ref="I14:K14"/>
    <mergeCell ref="E12:H12"/>
    <mergeCell ref="I23:K23"/>
    <mergeCell ref="A30:D30"/>
    <mergeCell ref="E21:H21"/>
    <mergeCell ref="E14:H14"/>
    <mergeCell ref="E23:H23"/>
    <mergeCell ref="A23:D23"/>
    <mergeCell ref="A38:D38"/>
    <mergeCell ref="A41:K41"/>
    <mergeCell ref="A15:D15"/>
    <mergeCell ref="I17:K17"/>
    <mergeCell ref="A24:D24"/>
    <mergeCell ref="A1:K1"/>
    <mergeCell ref="A45:K45"/>
    <mergeCell ref="E18:H18"/>
    <mergeCell ref="A34:D34"/>
    <mergeCell ref="I5:K5"/>
    <mergeCell ref="A39:D39"/>
    <mergeCell ref="I39:K39"/>
    <mergeCell ref="I20:K20"/>
    <mergeCell ref="I29:K29"/>
    <mergeCell ref="A36:D36"/>
    <mergeCell ref="C7:K7"/>
    <mergeCell ref="I38:K38"/>
    <mergeCell ref="E39:H39"/>
    <mergeCell ref="I13:K13"/>
    <mergeCell ref="E20:H20"/>
    <mergeCell ref="I31:K31"/>
    <mergeCell ref="E29:H29"/>
    <mergeCell ref="I15:K15"/>
    <mergeCell ref="A4:K4"/>
    <mergeCell ref="E31:H31"/>
    <mergeCell ref="A12:D12"/>
    <mergeCell ref="A21:D21"/>
    <mergeCell ref="E24:H24"/>
    <mergeCell ref="E32:H32"/>
    <mergeCell ref="A46:H46"/>
    <mergeCell ref="I19:K19"/>
    <mergeCell ref="E17:H17"/>
    <mergeCell ref="A3:K3"/>
    <mergeCell ref="E35:H35"/>
    <mergeCell ref="I9:K9"/>
    <mergeCell ref="A25:D25"/>
    <mergeCell ref="E19:H19"/>
    <mergeCell ref="I30:K30"/>
    <mergeCell ref="E28:H28"/>
    <mergeCell ref="I11:K11"/>
    <mergeCell ref="A18:D18"/>
    <mergeCell ref="I46:K46"/>
    <mergeCell ref="E9:H9"/>
    <mergeCell ref="E5:G5"/>
    <mergeCell ref="E30:H30"/>
    <mergeCell ref="A44:K44"/>
    <mergeCell ref="A43:K43"/>
    <mergeCell ref="E15:H15"/>
    <mergeCell ref="I26:K26"/>
    <mergeCell ref="A32:D32"/>
    <mergeCell ref="A40:K40"/>
    <mergeCell ref="A14:D14"/>
    <mergeCell ref="I16:K1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H67"/>
  <sheetViews>
    <sheetView workbookViewId="0">
      <selection activeCell="A5" sqref="A5"/>
    </sheetView>
  </sheetViews>
  <sheetFormatPr defaultColWidth="9.109375" defaultRowHeight="14.4" x14ac:dyDescent="0.3"/>
  <cols>
    <col min="1" max="1" width="52.6640625" bestFit="1" customWidth="1"/>
    <col min="2" max="2" width="16" bestFit="1" customWidth="1"/>
    <col min="3" max="14" width="16" customWidth="1"/>
    <col min="15" max="29" width="15.44140625" customWidth="1"/>
    <col min="30" max="30" width="16.109375" bestFit="1" customWidth="1"/>
    <col min="31" max="31" width="15.44140625" customWidth="1"/>
    <col min="32" max="32" width="16.6640625" bestFit="1" customWidth="1"/>
    <col min="33" max="33" width="9.44140625" bestFit="1" customWidth="1"/>
    <col min="34" max="34" width="18.44140625" bestFit="1" customWidth="1"/>
  </cols>
  <sheetData>
    <row r="1" spans="1:32" ht="18" customHeight="1" x14ac:dyDescent="0.35">
      <c r="A1" s="67"/>
      <c r="B1" s="2"/>
      <c r="C1" s="2"/>
      <c r="D1" s="2"/>
      <c r="E1" s="2"/>
      <c r="F1" s="2"/>
      <c r="G1" s="2"/>
      <c r="H1" s="2"/>
      <c r="I1" s="2"/>
      <c r="J1" s="2"/>
      <c r="K1" s="2"/>
      <c r="L1" s="2"/>
      <c r="M1" s="2"/>
      <c r="N1" s="2"/>
    </row>
    <row r="2" spans="1:32" ht="18" customHeight="1" x14ac:dyDescent="0.35">
      <c r="A2" s="70" t="s">
        <v>44</v>
      </c>
      <c r="B2" s="71" t="s">
        <v>45</v>
      </c>
      <c r="C2" s="71"/>
      <c r="D2" s="71"/>
      <c r="E2" s="71"/>
      <c r="F2" s="71"/>
      <c r="G2" s="71"/>
      <c r="H2" s="71"/>
      <c r="I2" s="71"/>
      <c r="J2" s="71"/>
      <c r="K2" s="71"/>
      <c r="L2" s="71"/>
      <c r="M2" s="71"/>
      <c r="N2" s="71"/>
      <c r="O2" s="71" t="s">
        <v>46</v>
      </c>
      <c r="P2" s="71"/>
      <c r="Q2" s="71"/>
      <c r="R2" s="71"/>
      <c r="S2" s="71"/>
      <c r="T2" s="71"/>
      <c r="U2" s="71"/>
      <c r="V2" s="71"/>
      <c r="W2" s="71"/>
      <c r="X2" s="71"/>
      <c r="Y2" s="71"/>
      <c r="Z2" s="71"/>
      <c r="AA2" s="71"/>
      <c r="AB2" s="71"/>
      <c r="AC2" s="71" t="s">
        <v>47</v>
      </c>
      <c r="AD2" s="71" t="s">
        <v>48</v>
      </c>
      <c r="AE2" s="71" t="s">
        <v>49</v>
      </c>
      <c r="AF2" s="71" t="s">
        <v>50</v>
      </c>
    </row>
    <row r="3" spans="1:32" ht="18" customHeight="1" x14ac:dyDescent="0.35">
      <c r="A3" s="112" t="s">
        <v>41</v>
      </c>
      <c r="B3" s="114">
        <f>'Sponsor Cost'!B10</f>
        <v>0</v>
      </c>
      <c r="C3" s="114">
        <f>B3</f>
        <v>0</v>
      </c>
      <c r="D3" s="114">
        <f>C3+30</f>
        <v>30</v>
      </c>
      <c r="E3" s="114">
        <f>D3+31</f>
        <v>61</v>
      </c>
      <c r="F3" s="114">
        <f>E3+31</f>
        <v>92</v>
      </c>
      <c r="G3" s="114">
        <f>F3+30</f>
        <v>122</v>
      </c>
      <c r="H3" s="114">
        <f>G3+31</f>
        <v>153</v>
      </c>
      <c r="I3" s="114">
        <f>H3+30</f>
        <v>183</v>
      </c>
      <c r="J3" s="114">
        <f>I3+31</f>
        <v>214</v>
      </c>
      <c r="K3" s="114">
        <f>J3+31</f>
        <v>245</v>
      </c>
      <c r="L3" s="114">
        <f>K3+28</f>
        <v>273</v>
      </c>
      <c r="M3" s="114">
        <f>L3+31</f>
        <v>304</v>
      </c>
      <c r="N3" s="114">
        <f>M3+30</f>
        <v>334</v>
      </c>
      <c r="O3" s="114">
        <f>EDATE(B3,12)</f>
        <v>366</v>
      </c>
      <c r="P3" s="114">
        <f>O3+30</f>
        <v>396</v>
      </c>
      <c r="Q3" s="114">
        <f t="shared" ref="Q3:AB3" si="0">P4+1</f>
        <v>427</v>
      </c>
      <c r="R3" s="114">
        <f t="shared" si="0"/>
        <v>458</v>
      </c>
      <c r="S3" s="114">
        <f t="shared" si="0"/>
        <v>488</v>
      </c>
      <c r="T3" s="114">
        <f t="shared" si="0"/>
        <v>519</v>
      </c>
      <c r="U3" s="114">
        <f t="shared" si="0"/>
        <v>549</v>
      </c>
      <c r="V3" s="114">
        <f t="shared" si="0"/>
        <v>580</v>
      </c>
      <c r="W3" s="114">
        <f t="shared" si="0"/>
        <v>611</v>
      </c>
      <c r="X3" s="114">
        <f t="shared" si="0"/>
        <v>1</v>
      </c>
      <c r="Y3" s="114">
        <f t="shared" si="0"/>
        <v>1</v>
      </c>
      <c r="Z3" s="114">
        <f t="shared" si="0"/>
        <v>1</v>
      </c>
      <c r="AA3" s="114">
        <f t="shared" si="0"/>
        <v>1</v>
      </c>
      <c r="AB3" s="114">
        <f t="shared" si="0"/>
        <v>1</v>
      </c>
      <c r="AC3" s="114">
        <f>EDATE(O3,12)</f>
        <v>731</v>
      </c>
      <c r="AD3" s="114">
        <f>EDATE(AC3,12)</f>
        <v>1096</v>
      </c>
      <c r="AE3" s="114">
        <f>EDATE(AD3,12)</f>
        <v>1461</v>
      </c>
      <c r="AF3" s="74"/>
    </row>
    <row r="4" spans="1:32" ht="18" customHeight="1" x14ac:dyDescent="0.35">
      <c r="A4" s="112" t="s">
        <v>42</v>
      </c>
      <c r="B4" s="114">
        <f>O3-1</f>
        <v>365</v>
      </c>
      <c r="C4" s="114">
        <f>C3+29</f>
        <v>29</v>
      </c>
      <c r="D4" s="114">
        <f t="shared" ref="D4:N4" si="1">E3-1</f>
        <v>60</v>
      </c>
      <c r="E4" s="114">
        <f t="shared" si="1"/>
        <v>91</v>
      </c>
      <c r="F4" s="114">
        <f t="shared" si="1"/>
        <v>121</v>
      </c>
      <c r="G4" s="114">
        <f t="shared" si="1"/>
        <v>152</v>
      </c>
      <c r="H4" s="114">
        <f t="shared" si="1"/>
        <v>182</v>
      </c>
      <c r="I4" s="114">
        <f t="shared" si="1"/>
        <v>213</v>
      </c>
      <c r="J4" s="114">
        <f t="shared" si="1"/>
        <v>244</v>
      </c>
      <c r="K4" s="114">
        <f t="shared" si="1"/>
        <v>272</v>
      </c>
      <c r="L4" s="114">
        <f t="shared" si="1"/>
        <v>303</v>
      </c>
      <c r="M4" s="114">
        <f t="shared" si="1"/>
        <v>333</v>
      </c>
      <c r="N4" s="114">
        <f t="shared" si="1"/>
        <v>365</v>
      </c>
      <c r="O4" s="114">
        <f>AC3-1</f>
        <v>730</v>
      </c>
      <c r="P4" s="114">
        <f>P3+30</f>
        <v>426</v>
      </c>
      <c r="Q4" s="114">
        <f>Q3+30</f>
        <v>457</v>
      </c>
      <c r="R4" s="114">
        <f>R3+29</f>
        <v>487</v>
      </c>
      <c r="S4" s="114">
        <f>S3+30</f>
        <v>518</v>
      </c>
      <c r="T4" s="114">
        <f>T3+29</f>
        <v>548</v>
      </c>
      <c r="U4" s="114">
        <f>U3+30</f>
        <v>579</v>
      </c>
      <c r="V4" s="114">
        <f>V3+30</f>
        <v>610</v>
      </c>
      <c r="W4" s="114"/>
      <c r="X4" s="114"/>
      <c r="Y4" s="114"/>
      <c r="Z4" s="114"/>
      <c r="AA4" s="114"/>
      <c r="AB4" s="114"/>
      <c r="AC4" s="114">
        <f>AD3-1</f>
        <v>1095</v>
      </c>
      <c r="AD4" s="114">
        <f>AE3-1</f>
        <v>1460</v>
      </c>
      <c r="AE4" s="114">
        <f>EDATE(AE3,12)-1</f>
        <v>1826</v>
      </c>
      <c r="AF4" s="73"/>
    </row>
    <row r="5" spans="1:32" ht="18" customHeight="1" x14ac:dyDescent="0.35">
      <c r="A5" s="72" t="s">
        <v>51</v>
      </c>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3"/>
    </row>
    <row r="6" spans="1:32" ht="18" customHeight="1" x14ac:dyDescent="0.35">
      <c r="A6" s="76" t="s">
        <v>104</v>
      </c>
      <c r="B6" s="186">
        <f>ROUND('Labor Detail'!B36,0)</f>
        <v>0</v>
      </c>
      <c r="C6" s="186"/>
      <c r="D6" s="186"/>
      <c r="E6" s="186"/>
      <c r="F6" s="186"/>
      <c r="G6" s="186"/>
      <c r="H6" s="186"/>
      <c r="I6" s="186"/>
      <c r="J6" s="186"/>
      <c r="K6" s="186"/>
      <c r="L6" s="186"/>
      <c r="M6" s="186"/>
      <c r="N6" s="186"/>
      <c r="O6" s="186">
        <f>ROUND('Labor Detail'!C36,0)</f>
        <v>0</v>
      </c>
      <c r="P6" s="186"/>
      <c r="Q6" s="186"/>
      <c r="R6" s="186"/>
      <c r="S6" s="186"/>
      <c r="T6" s="186"/>
      <c r="U6" s="186"/>
      <c r="V6" s="186"/>
      <c r="W6" s="186"/>
      <c r="X6" s="186"/>
      <c r="Y6" s="186"/>
      <c r="Z6" s="186"/>
      <c r="AA6" s="186"/>
      <c r="AB6" s="186"/>
      <c r="AC6" s="186">
        <f>ROUND('Labor Detail'!D36,0)</f>
        <v>0</v>
      </c>
      <c r="AD6" s="186">
        <f>ROUND('Labor Detail'!E36,0)</f>
        <v>0</v>
      </c>
      <c r="AE6" s="186">
        <f>ROUND('Labor Detail'!F36,0)</f>
        <v>0</v>
      </c>
      <c r="AF6" s="78">
        <f>ROUND(SUM(B6:AE6),0)</f>
        <v>0</v>
      </c>
    </row>
    <row r="7" spans="1:32" ht="18" customHeight="1" x14ac:dyDescent="0.35">
      <c r="A7" s="76" t="s">
        <v>53</v>
      </c>
      <c r="B7" s="77">
        <f>ROUND('Labor Detail'!B45,0)</f>
        <v>0</v>
      </c>
      <c r="C7" s="77"/>
      <c r="D7" s="77"/>
      <c r="E7" s="77"/>
      <c r="F7" s="77"/>
      <c r="G7" s="77"/>
      <c r="H7" s="77"/>
      <c r="I7" s="77"/>
      <c r="J7" s="77"/>
      <c r="K7" s="77"/>
      <c r="L7" s="77"/>
      <c r="M7" s="77"/>
      <c r="N7" s="77"/>
      <c r="O7" s="77">
        <f>ROUND('Labor Detail'!C45,0)</f>
        <v>0</v>
      </c>
      <c r="P7" s="77"/>
      <c r="Q7" s="77"/>
      <c r="R7" s="77"/>
      <c r="S7" s="77"/>
      <c r="T7" s="77"/>
      <c r="U7" s="77"/>
      <c r="V7" s="77"/>
      <c r="W7" s="77"/>
      <c r="X7" s="77"/>
      <c r="Y7" s="77"/>
      <c r="Z7" s="77"/>
      <c r="AA7" s="77"/>
      <c r="AB7" s="77"/>
      <c r="AC7" s="77">
        <f>ROUND('Labor Detail'!D45,0)</f>
        <v>0</v>
      </c>
      <c r="AD7" s="77">
        <f>ROUND('Labor Detail'!E45,0)</f>
        <v>0</v>
      </c>
      <c r="AE7" s="77">
        <f>ROUND('Labor Detail'!F45,0)</f>
        <v>0</v>
      </c>
      <c r="AF7" s="78">
        <f>ROUND(SUM(B7:AE7),0)</f>
        <v>0</v>
      </c>
    </row>
    <row r="8" spans="1:32" ht="18" customHeight="1" x14ac:dyDescent="0.35">
      <c r="A8" s="76" t="s">
        <v>54</v>
      </c>
      <c r="B8" s="77">
        <f>ROUND('Labor Detail'!B53,0)</f>
        <v>0</v>
      </c>
      <c r="C8" s="77"/>
      <c r="D8" s="77"/>
      <c r="E8" s="77"/>
      <c r="F8" s="77"/>
      <c r="G8" s="77"/>
      <c r="H8" s="77"/>
      <c r="I8" s="77"/>
      <c r="J8" s="77"/>
      <c r="K8" s="77"/>
      <c r="L8" s="77"/>
      <c r="M8" s="77"/>
      <c r="N8" s="77"/>
      <c r="O8" s="77">
        <f>ROUND('Labor Detail'!C53,0)</f>
        <v>0</v>
      </c>
      <c r="P8" s="77"/>
      <c r="Q8" s="77"/>
      <c r="R8" s="77"/>
      <c r="S8" s="77"/>
      <c r="T8" s="77"/>
      <c r="U8" s="77"/>
      <c r="V8" s="77"/>
      <c r="W8" s="77"/>
      <c r="X8" s="77"/>
      <c r="Y8" s="77"/>
      <c r="Z8" s="77"/>
      <c r="AA8" s="77"/>
      <c r="AB8" s="77"/>
      <c r="AC8" s="77">
        <f>ROUND('Labor Detail'!D53,0)</f>
        <v>0</v>
      </c>
      <c r="AD8" s="77">
        <f>ROUND('Labor Detail'!E53,0)</f>
        <v>0</v>
      </c>
      <c r="AE8" s="77">
        <f>ROUND('Labor Detail'!F53,0)</f>
        <v>0</v>
      </c>
      <c r="AF8" s="78">
        <f>ROUND(SUM(B8:AE8),0)</f>
        <v>0</v>
      </c>
    </row>
    <row r="9" spans="1:32" ht="18" customHeight="1" x14ac:dyDescent="0.35">
      <c r="A9" s="76" t="s">
        <v>55</v>
      </c>
      <c r="B9" s="77">
        <f>ROUND('Labor Detail'!B61,0)</f>
        <v>0</v>
      </c>
      <c r="C9" s="77"/>
      <c r="D9" s="77"/>
      <c r="E9" s="77"/>
      <c r="F9" s="77"/>
      <c r="G9" s="77"/>
      <c r="H9" s="77"/>
      <c r="I9" s="77"/>
      <c r="J9" s="77"/>
      <c r="K9" s="77"/>
      <c r="L9" s="77"/>
      <c r="M9" s="77"/>
      <c r="N9" s="77"/>
      <c r="O9" s="77">
        <f>ROUND('Labor Detail'!C61,0)</f>
        <v>0</v>
      </c>
      <c r="P9" s="77"/>
      <c r="Q9" s="77"/>
      <c r="R9" s="77"/>
      <c r="S9" s="77"/>
      <c r="T9" s="77"/>
      <c r="U9" s="77"/>
      <c r="V9" s="77"/>
      <c r="W9" s="77"/>
      <c r="X9" s="77"/>
      <c r="Y9" s="77"/>
      <c r="Z9" s="77"/>
      <c r="AA9" s="77"/>
      <c r="AB9" s="77"/>
      <c r="AC9" s="77">
        <f>ROUND('Labor Detail'!D61,0)</f>
        <v>0</v>
      </c>
      <c r="AD9" s="77">
        <f>ROUND('Labor Detail'!E61,0)</f>
        <v>0</v>
      </c>
      <c r="AE9" s="77">
        <f>ROUND('Labor Detail'!F61,0)</f>
        <v>0</v>
      </c>
      <c r="AF9" s="78">
        <f>ROUND(SUM(B9:AE9),0)</f>
        <v>0</v>
      </c>
    </row>
    <row r="10" spans="1:32" ht="18" customHeight="1" x14ac:dyDescent="0.35">
      <c r="A10" s="76" t="s">
        <v>105</v>
      </c>
      <c r="B10" s="77">
        <f>ROUND('Labor Detail'!B69,0)</f>
        <v>0</v>
      </c>
      <c r="C10" s="77"/>
      <c r="D10" s="77"/>
      <c r="E10" s="77"/>
      <c r="F10" s="77"/>
      <c r="G10" s="77"/>
      <c r="H10" s="77"/>
      <c r="I10" s="77"/>
      <c r="J10" s="77"/>
      <c r="K10" s="77"/>
      <c r="L10" s="77"/>
      <c r="M10" s="77"/>
      <c r="N10" s="77"/>
      <c r="O10" s="77">
        <f>ROUND('Labor Detail'!C69,0)</f>
        <v>0</v>
      </c>
      <c r="P10" s="77"/>
      <c r="Q10" s="77"/>
      <c r="R10" s="77"/>
      <c r="S10" s="77"/>
      <c r="T10" s="77"/>
      <c r="U10" s="77"/>
      <c r="V10" s="77"/>
      <c r="W10" s="77"/>
      <c r="X10" s="77"/>
      <c r="Y10" s="77"/>
      <c r="Z10" s="77"/>
      <c r="AA10" s="77"/>
      <c r="AB10" s="77"/>
      <c r="AC10" s="77">
        <f>ROUND('Labor Detail'!D69,0)</f>
        <v>0</v>
      </c>
      <c r="AD10" s="77">
        <f>ROUND('Labor Detail'!E69,0)</f>
        <v>0</v>
      </c>
      <c r="AE10" s="77">
        <f>ROUND('Labor Detail'!F69,0)</f>
        <v>0</v>
      </c>
      <c r="AF10" s="78">
        <f>ROUND(SUM(B10:AE10),0)</f>
        <v>0</v>
      </c>
    </row>
    <row r="11" spans="1:32" ht="18.600000000000001" customHeight="1" thickBot="1" x14ac:dyDescent="0.4">
      <c r="A11" s="79" t="s">
        <v>57</v>
      </c>
      <c r="B11" s="80">
        <f>ROUND(SUM(B6:B10),0)</f>
        <v>0</v>
      </c>
      <c r="C11" s="80"/>
      <c r="D11" s="80"/>
      <c r="E11" s="80"/>
      <c r="F11" s="80"/>
      <c r="G11" s="80"/>
      <c r="H11" s="80"/>
      <c r="I11" s="80"/>
      <c r="J11" s="80"/>
      <c r="K11" s="80"/>
      <c r="L11" s="80"/>
      <c r="M11" s="80"/>
      <c r="N11" s="80"/>
      <c r="O11" s="80">
        <f>ROUND(SUM(O6:O10),0)</f>
        <v>0</v>
      </c>
      <c r="P11" s="80"/>
      <c r="Q11" s="80"/>
      <c r="R11" s="80"/>
      <c r="S11" s="80"/>
      <c r="T11" s="80"/>
      <c r="U11" s="80"/>
      <c r="V11" s="80"/>
      <c r="W11" s="80"/>
      <c r="X11" s="80"/>
      <c r="Y11" s="80"/>
      <c r="Z11" s="80"/>
      <c r="AA11" s="80"/>
      <c r="AB11" s="80"/>
      <c r="AC11" s="80">
        <f>ROUND(SUM(AC6:AC10),0)</f>
        <v>0</v>
      </c>
      <c r="AD11" s="80">
        <f>ROUND(SUM(AD6:AD10),0)</f>
        <v>0</v>
      </c>
      <c r="AE11" s="80">
        <f>ROUND(SUM(AE6:AE10),0)</f>
        <v>0</v>
      </c>
      <c r="AF11" s="80">
        <f>ROUND(SUM(AF6:AF10),0)</f>
        <v>0</v>
      </c>
    </row>
    <row r="12" spans="1:32" ht="18.600000000000001" customHeight="1" thickTop="1" x14ac:dyDescent="0.35">
      <c r="A12" s="72"/>
      <c r="B12" s="78"/>
      <c r="C12" s="78"/>
      <c r="D12" s="78"/>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78"/>
      <c r="AF12" s="78"/>
    </row>
    <row r="13" spans="1:32" ht="18" customHeight="1" x14ac:dyDescent="0.35">
      <c r="A13" s="65" t="s">
        <v>58</v>
      </c>
      <c r="B13" s="77"/>
      <c r="C13" s="77"/>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8"/>
    </row>
    <row r="14" spans="1:32" ht="18" customHeight="1" x14ac:dyDescent="0.35">
      <c r="A14" s="76" t="s">
        <v>104</v>
      </c>
      <c r="B14" s="77">
        <f>ROUND('Labor Detail'!H36,0)</f>
        <v>0</v>
      </c>
      <c r="C14" s="77"/>
      <c r="D14" s="77"/>
      <c r="E14" s="77"/>
      <c r="F14" s="77"/>
      <c r="G14" s="77"/>
      <c r="H14" s="77"/>
      <c r="I14" s="77"/>
      <c r="J14" s="77"/>
      <c r="K14" s="77"/>
      <c r="L14" s="77"/>
      <c r="M14" s="77"/>
      <c r="N14" s="77"/>
      <c r="O14" s="77">
        <f>ROUND('Labor Detail'!I36,0)</f>
        <v>0</v>
      </c>
      <c r="P14" s="77"/>
      <c r="Q14" s="77"/>
      <c r="R14" s="77"/>
      <c r="S14" s="77"/>
      <c r="T14" s="77"/>
      <c r="U14" s="77"/>
      <c r="V14" s="77"/>
      <c r="W14" s="77"/>
      <c r="X14" s="77"/>
      <c r="Y14" s="77"/>
      <c r="Z14" s="77"/>
      <c r="AA14" s="77"/>
      <c r="AB14" s="77"/>
      <c r="AC14" s="77">
        <f>ROUND('Labor Detail'!J36,0)</f>
        <v>0</v>
      </c>
      <c r="AD14" s="77">
        <f>ROUND('Labor Detail'!K36,0)</f>
        <v>0</v>
      </c>
      <c r="AE14" s="77">
        <f>ROUND('Labor Detail'!L36,0)</f>
        <v>0</v>
      </c>
      <c r="AF14" s="78">
        <f>ROUND(SUM(B14:AE14),0)</f>
        <v>0</v>
      </c>
    </row>
    <row r="15" spans="1:32" ht="18" customHeight="1" x14ac:dyDescent="0.35">
      <c r="A15" s="76" t="s">
        <v>53</v>
      </c>
      <c r="B15" s="77">
        <f>ROUND('Labor Detail'!H45,0)</f>
        <v>0</v>
      </c>
      <c r="C15" s="77"/>
      <c r="D15" s="77"/>
      <c r="E15" s="77"/>
      <c r="F15" s="77"/>
      <c r="G15" s="77"/>
      <c r="H15" s="77"/>
      <c r="I15" s="77"/>
      <c r="J15" s="77"/>
      <c r="K15" s="77"/>
      <c r="L15" s="77"/>
      <c r="M15" s="77"/>
      <c r="N15" s="77"/>
      <c r="O15" s="77">
        <f>ROUND('Labor Detail'!I45,0)</f>
        <v>0</v>
      </c>
      <c r="P15" s="77"/>
      <c r="Q15" s="77"/>
      <c r="R15" s="77"/>
      <c r="S15" s="77"/>
      <c r="T15" s="77"/>
      <c r="U15" s="77"/>
      <c r="V15" s="77"/>
      <c r="W15" s="77"/>
      <c r="X15" s="77"/>
      <c r="Y15" s="77"/>
      <c r="Z15" s="77"/>
      <c r="AA15" s="77"/>
      <c r="AB15" s="77"/>
      <c r="AC15" s="77">
        <f>ROUND('Labor Detail'!J45,0)</f>
        <v>0</v>
      </c>
      <c r="AD15" s="77">
        <f>ROUND('Labor Detail'!K45,0)</f>
        <v>0</v>
      </c>
      <c r="AE15" s="77">
        <f>ROUND('Labor Detail'!L45,0)</f>
        <v>0</v>
      </c>
      <c r="AF15" s="78">
        <f>ROUND(SUM(B15:AE15),0)</f>
        <v>0</v>
      </c>
    </row>
    <row r="16" spans="1:32" ht="18" customHeight="1" x14ac:dyDescent="0.35">
      <c r="A16" s="76" t="s">
        <v>54</v>
      </c>
      <c r="B16" s="77">
        <f>ROUND('Labor Detail'!H53,0)</f>
        <v>0</v>
      </c>
      <c r="C16" s="77"/>
      <c r="D16" s="77"/>
      <c r="E16" s="77"/>
      <c r="F16" s="77"/>
      <c r="G16" s="77"/>
      <c r="H16" s="77"/>
      <c r="I16" s="77"/>
      <c r="J16" s="77"/>
      <c r="K16" s="77"/>
      <c r="L16" s="77"/>
      <c r="M16" s="77"/>
      <c r="N16" s="77"/>
      <c r="O16" s="77">
        <f>ROUND('Labor Detail'!I53,0)</f>
        <v>0</v>
      </c>
      <c r="P16" s="77"/>
      <c r="Q16" s="77"/>
      <c r="R16" s="77"/>
      <c r="S16" s="77"/>
      <c r="T16" s="77"/>
      <c r="U16" s="77"/>
      <c r="V16" s="77"/>
      <c r="W16" s="77"/>
      <c r="X16" s="77"/>
      <c r="Y16" s="77"/>
      <c r="Z16" s="77"/>
      <c r="AA16" s="77"/>
      <c r="AB16" s="77"/>
      <c r="AC16" s="77">
        <f>ROUND('Labor Detail'!J53,0)</f>
        <v>0</v>
      </c>
      <c r="AD16" s="77">
        <f>ROUND('Labor Detail'!K53,0)</f>
        <v>0</v>
      </c>
      <c r="AE16" s="77">
        <f>ROUND('Labor Detail'!L53,0)</f>
        <v>0</v>
      </c>
      <c r="AF16" s="78">
        <f>ROUND(SUM(B16:AE16),0)</f>
        <v>0</v>
      </c>
    </row>
    <row r="17" spans="1:32" ht="18" customHeight="1" x14ac:dyDescent="0.35">
      <c r="A17" s="76" t="s">
        <v>59</v>
      </c>
      <c r="B17" s="77">
        <f>ROUND('Labor Detail'!H61,0)</f>
        <v>0</v>
      </c>
      <c r="C17" s="77"/>
      <c r="D17" s="77"/>
      <c r="E17" s="77"/>
      <c r="F17" s="77"/>
      <c r="G17" s="77"/>
      <c r="H17" s="77"/>
      <c r="I17" s="77"/>
      <c r="J17" s="77"/>
      <c r="K17" s="77"/>
      <c r="L17" s="77"/>
      <c r="M17" s="77"/>
      <c r="N17" s="77"/>
      <c r="O17" s="77">
        <f>ROUND('Labor Detail'!I61,0)</f>
        <v>0</v>
      </c>
      <c r="P17" s="77"/>
      <c r="Q17" s="77"/>
      <c r="R17" s="77"/>
      <c r="S17" s="77"/>
      <c r="T17" s="77"/>
      <c r="U17" s="77"/>
      <c r="V17" s="77"/>
      <c r="W17" s="77"/>
      <c r="X17" s="77"/>
      <c r="Y17" s="77"/>
      <c r="Z17" s="77"/>
      <c r="AA17" s="77"/>
      <c r="AB17" s="77"/>
      <c r="AC17" s="77">
        <f>ROUND('Labor Detail'!J61,0)</f>
        <v>0</v>
      </c>
      <c r="AD17" s="77">
        <f>ROUND('Labor Detail'!K61,0)</f>
        <v>0</v>
      </c>
      <c r="AE17" s="77">
        <f>ROUND('Labor Detail'!L61,0)</f>
        <v>0</v>
      </c>
      <c r="AF17" s="78">
        <f>ROUND(SUM(B17:AE17),0)</f>
        <v>0</v>
      </c>
    </row>
    <row r="18" spans="1:32" ht="18" customHeight="1" x14ac:dyDescent="0.35">
      <c r="A18" s="76" t="s">
        <v>105</v>
      </c>
      <c r="B18" s="77">
        <f>ROUND('Labor Detail'!H69,0)</f>
        <v>0</v>
      </c>
      <c r="C18" s="77"/>
      <c r="D18" s="77"/>
      <c r="E18" s="77"/>
      <c r="F18" s="77"/>
      <c r="G18" s="77"/>
      <c r="H18" s="77"/>
      <c r="I18" s="77"/>
      <c r="J18" s="77"/>
      <c r="K18" s="77"/>
      <c r="L18" s="77"/>
      <c r="M18" s="77"/>
      <c r="N18" s="77"/>
      <c r="O18" s="77">
        <f>ROUND('Labor Detail'!I69,0)</f>
        <v>0</v>
      </c>
      <c r="P18" s="77"/>
      <c r="Q18" s="77"/>
      <c r="R18" s="77"/>
      <c r="S18" s="77"/>
      <c r="T18" s="77"/>
      <c r="U18" s="77"/>
      <c r="V18" s="77"/>
      <c r="W18" s="77"/>
      <c r="X18" s="77"/>
      <c r="Y18" s="77"/>
      <c r="Z18" s="77"/>
      <c r="AA18" s="77"/>
      <c r="AB18" s="77"/>
      <c r="AC18" s="77">
        <f>ROUND('Labor Detail'!J69,0)</f>
        <v>0</v>
      </c>
      <c r="AD18" s="77">
        <f>ROUND('Labor Detail'!K69,0)</f>
        <v>0</v>
      </c>
      <c r="AE18" s="77">
        <f>ROUND('Labor Detail'!L69,0)</f>
        <v>0</v>
      </c>
      <c r="AF18" s="78">
        <f>ROUND(SUM(B18:AE18),0)</f>
        <v>0</v>
      </c>
    </row>
    <row r="19" spans="1:32" ht="18.600000000000001" customHeight="1" thickBot="1" x14ac:dyDescent="0.4">
      <c r="A19" s="79" t="s">
        <v>60</v>
      </c>
      <c r="B19" s="80">
        <f>ROUND(SUM(B14:B18),0)</f>
        <v>0</v>
      </c>
      <c r="C19" s="80"/>
      <c r="D19" s="80"/>
      <c r="E19" s="80"/>
      <c r="F19" s="80"/>
      <c r="G19" s="80"/>
      <c r="H19" s="80"/>
      <c r="I19" s="80"/>
      <c r="J19" s="80"/>
      <c r="K19" s="80"/>
      <c r="L19" s="80"/>
      <c r="M19" s="80"/>
      <c r="N19" s="80"/>
      <c r="O19" s="80">
        <f>ROUND(SUM(O14:O18),0)</f>
        <v>0</v>
      </c>
      <c r="P19" s="80"/>
      <c r="Q19" s="80"/>
      <c r="R19" s="80"/>
      <c r="S19" s="80"/>
      <c r="T19" s="80"/>
      <c r="U19" s="80"/>
      <c r="V19" s="80"/>
      <c r="W19" s="80"/>
      <c r="X19" s="80"/>
      <c r="Y19" s="80"/>
      <c r="Z19" s="80"/>
      <c r="AA19" s="80"/>
      <c r="AB19" s="80"/>
      <c r="AC19" s="80">
        <f>ROUND(SUM(AC14:AC18),0)</f>
        <v>0</v>
      </c>
      <c r="AD19" s="80">
        <f>ROUND(SUM(AD14:AD18),0)</f>
        <v>0</v>
      </c>
      <c r="AE19" s="80">
        <f>ROUND(SUM(AE14:AE18),0)</f>
        <v>0</v>
      </c>
      <c r="AF19" s="80">
        <f>ROUND(SUM(AF14:AF18),0)</f>
        <v>0</v>
      </c>
    </row>
    <row r="20" spans="1:32" ht="12" customHeight="1" thickTop="1" x14ac:dyDescent="0.35">
      <c r="A20" s="72"/>
      <c r="B20" s="78"/>
      <c r="C20" s="78"/>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row>
    <row r="21" spans="1:32" ht="18" customHeight="1" x14ac:dyDescent="0.35">
      <c r="A21" s="72" t="s">
        <v>61</v>
      </c>
      <c r="B21" s="77"/>
      <c r="C21" s="77"/>
      <c r="D21" s="77"/>
      <c r="E21" s="77"/>
      <c r="F21" s="77"/>
      <c r="G21" s="77"/>
      <c r="H21" s="77"/>
      <c r="I21" s="77"/>
      <c r="J21" s="77"/>
      <c r="K21" s="77"/>
      <c r="L21" s="77"/>
      <c r="M21" s="77"/>
      <c r="N21" s="77"/>
      <c r="O21" s="77"/>
      <c r="P21" s="77"/>
      <c r="Q21" s="77"/>
      <c r="R21" s="77"/>
      <c r="S21" s="77"/>
      <c r="T21" s="77"/>
      <c r="U21" s="77"/>
      <c r="V21" s="77"/>
      <c r="W21" s="77"/>
      <c r="X21" s="77"/>
      <c r="Y21" s="77"/>
      <c r="Z21" s="77"/>
      <c r="AA21" s="77"/>
      <c r="AB21" s="77"/>
      <c r="AC21" s="77"/>
      <c r="AD21" s="77"/>
      <c r="AE21" s="77"/>
      <c r="AF21" s="78"/>
    </row>
    <row r="22" spans="1:32" ht="18" customHeight="1" x14ac:dyDescent="0.35">
      <c r="A22" s="81" t="s">
        <v>62</v>
      </c>
      <c r="B22" s="82">
        <f>ROUND(Equipment!D26-Equipment!D40,0)</f>
        <v>0</v>
      </c>
      <c r="C22" s="82"/>
      <c r="D22" s="82"/>
      <c r="E22" s="82"/>
      <c r="F22" s="82"/>
      <c r="G22" s="82"/>
      <c r="H22" s="82"/>
      <c r="I22" s="82"/>
      <c r="J22" s="82"/>
      <c r="K22" s="82"/>
      <c r="L22" s="82"/>
      <c r="M22" s="82"/>
      <c r="N22" s="82"/>
      <c r="O22" s="82">
        <f>ROUND(Equipment!E26-Equipment!E40,0)</f>
        <v>0</v>
      </c>
      <c r="P22" s="82"/>
      <c r="Q22" s="82"/>
      <c r="R22" s="82"/>
      <c r="S22" s="82"/>
      <c r="T22" s="82"/>
      <c r="U22" s="82"/>
      <c r="V22" s="82"/>
      <c r="W22" s="82"/>
      <c r="X22" s="82"/>
      <c r="Y22" s="82"/>
      <c r="Z22" s="82"/>
      <c r="AA22" s="82"/>
      <c r="AB22" s="82"/>
      <c r="AC22" s="82">
        <f>ROUND(Equipment!F26-Equipment!F40,0)</f>
        <v>0</v>
      </c>
      <c r="AD22" s="82">
        <f>ROUND(Equipment!G26-Equipment!G40,0)</f>
        <v>0</v>
      </c>
      <c r="AE22" s="82">
        <f>ROUND(Equipment!H26-Equipment!H40,0)</f>
        <v>0</v>
      </c>
      <c r="AF22" s="78">
        <f t="shared" ref="AF22:AF37" si="2">ROUND(SUM(B22:AE22),0)</f>
        <v>0</v>
      </c>
    </row>
    <row r="23" spans="1:32" ht="18" customHeight="1" x14ac:dyDescent="0.35">
      <c r="A23" s="81" t="s">
        <v>63</v>
      </c>
      <c r="B23" s="82">
        <f>ROUND(Travel!E16-Travel!E19,0)</f>
        <v>0</v>
      </c>
      <c r="C23" s="82"/>
      <c r="D23" s="82"/>
      <c r="E23" s="82"/>
      <c r="F23" s="82"/>
      <c r="G23" s="82"/>
      <c r="H23" s="82"/>
      <c r="I23" s="82"/>
      <c r="J23" s="82"/>
      <c r="K23" s="82"/>
      <c r="L23" s="82"/>
      <c r="M23" s="82"/>
      <c r="N23" s="82"/>
      <c r="O23" s="82">
        <f>ROUND(Travel!F16-Travel!F19,0)</f>
        <v>0</v>
      </c>
      <c r="P23" s="82"/>
      <c r="Q23" s="82"/>
      <c r="R23" s="82"/>
      <c r="S23" s="82"/>
      <c r="T23" s="82"/>
      <c r="U23" s="82"/>
      <c r="V23" s="82"/>
      <c r="W23" s="82"/>
      <c r="X23" s="82"/>
      <c r="Y23" s="82"/>
      <c r="Z23" s="82"/>
      <c r="AA23" s="82"/>
      <c r="AB23" s="82"/>
      <c r="AC23" s="82">
        <f>ROUND(Travel!G16-Travel!G19,0)</f>
        <v>0</v>
      </c>
      <c r="AD23" s="82">
        <f>ROUND(Travel!H16-Travel!H19,0)</f>
        <v>0</v>
      </c>
      <c r="AE23" s="82">
        <f>ROUND(Travel!I16-Travel!I19,0)</f>
        <v>0</v>
      </c>
      <c r="AF23" s="78">
        <f t="shared" si="2"/>
        <v>0</v>
      </c>
    </row>
    <row r="24" spans="1:32" ht="18" customHeight="1" x14ac:dyDescent="0.35">
      <c r="A24" s="124" t="s">
        <v>23</v>
      </c>
      <c r="B24" s="125">
        <f>ROUND(Travel!E17,0)</f>
        <v>0</v>
      </c>
      <c r="C24" s="125"/>
      <c r="D24" s="125"/>
      <c r="E24" s="125"/>
      <c r="F24" s="125"/>
      <c r="G24" s="125"/>
      <c r="H24" s="125"/>
      <c r="I24" s="125"/>
      <c r="J24" s="125"/>
      <c r="K24" s="125"/>
      <c r="L24" s="125"/>
      <c r="M24" s="125"/>
      <c r="N24" s="125"/>
      <c r="O24" s="125">
        <f>ROUND(Travel!F17,0)</f>
        <v>0</v>
      </c>
      <c r="P24" s="125"/>
      <c r="Q24" s="125"/>
      <c r="R24" s="125"/>
      <c r="S24" s="125"/>
      <c r="T24" s="125"/>
      <c r="U24" s="125"/>
      <c r="V24" s="125"/>
      <c r="W24" s="125"/>
      <c r="X24" s="125"/>
      <c r="Y24" s="125"/>
      <c r="Z24" s="125"/>
      <c r="AA24" s="125"/>
      <c r="AB24" s="125"/>
      <c r="AC24" s="125">
        <f>ROUND(Travel!G17,0)</f>
        <v>0</v>
      </c>
      <c r="AD24" s="125">
        <f>ROUND(Travel!H17,0)</f>
        <v>0</v>
      </c>
      <c r="AE24" s="125">
        <f>ROUND(Travel!I17,0)</f>
        <v>0</v>
      </c>
      <c r="AF24" s="78">
        <f t="shared" si="2"/>
        <v>0</v>
      </c>
    </row>
    <row r="25" spans="1:32" ht="18" customHeight="1" x14ac:dyDescent="0.35">
      <c r="A25" s="124" t="s">
        <v>64</v>
      </c>
      <c r="B25" s="125">
        <f>ROUND(Travel!E18,0)</f>
        <v>0</v>
      </c>
      <c r="C25" s="125"/>
      <c r="D25" s="125"/>
      <c r="E25" s="125"/>
      <c r="F25" s="125"/>
      <c r="G25" s="125"/>
      <c r="H25" s="125"/>
      <c r="I25" s="125"/>
      <c r="J25" s="125"/>
      <c r="K25" s="125"/>
      <c r="L25" s="125"/>
      <c r="M25" s="125"/>
      <c r="N25" s="125"/>
      <c r="O25" s="125">
        <f>ROUND(Travel!F18,0)</f>
        <v>0</v>
      </c>
      <c r="P25" s="125"/>
      <c r="Q25" s="125"/>
      <c r="R25" s="125"/>
      <c r="S25" s="125"/>
      <c r="T25" s="125"/>
      <c r="U25" s="125"/>
      <c r="V25" s="125"/>
      <c r="W25" s="125"/>
      <c r="X25" s="125"/>
      <c r="Y25" s="125"/>
      <c r="Z25" s="125"/>
      <c r="AA25" s="125"/>
      <c r="AB25" s="125"/>
      <c r="AC25" s="125">
        <f>ROUND(Travel!G18,0)</f>
        <v>0</v>
      </c>
      <c r="AD25" s="125">
        <f>ROUND(Travel!H18,0)</f>
        <v>0</v>
      </c>
      <c r="AE25" s="125">
        <f>ROUND(Travel!I18,0)</f>
        <v>0</v>
      </c>
      <c r="AF25" s="78">
        <f t="shared" si="2"/>
        <v>0</v>
      </c>
    </row>
    <row r="26" spans="1:32" ht="18" customHeight="1" x14ac:dyDescent="0.35">
      <c r="A26" s="76" t="s">
        <v>65</v>
      </c>
      <c r="B26" s="82">
        <f>ROUND(Honorarium!D26-Honorarium!D40,0)</f>
        <v>0</v>
      </c>
      <c r="C26" s="82"/>
      <c r="D26" s="82"/>
      <c r="E26" s="82"/>
      <c r="F26" s="82"/>
      <c r="G26" s="82"/>
      <c r="H26" s="82"/>
      <c r="I26" s="82"/>
      <c r="J26" s="82"/>
      <c r="K26" s="82"/>
      <c r="L26" s="82"/>
      <c r="M26" s="82"/>
      <c r="N26" s="82"/>
      <c r="O26" s="82">
        <f>ROUND(Honorarium!E26-Honorarium!E40,0)</f>
        <v>0</v>
      </c>
      <c r="P26" s="82"/>
      <c r="Q26" s="82"/>
      <c r="R26" s="82"/>
      <c r="S26" s="82"/>
      <c r="T26" s="82"/>
      <c r="U26" s="82"/>
      <c r="V26" s="82"/>
      <c r="W26" s="82"/>
      <c r="X26" s="82"/>
      <c r="Y26" s="82"/>
      <c r="Z26" s="82"/>
      <c r="AA26" s="82"/>
      <c r="AB26" s="82"/>
      <c r="AC26" s="82">
        <f>ROUND(Honorarium!F26-Honorarium!F40,0)</f>
        <v>0</v>
      </c>
      <c r="AD26" s="82">
        <f>ROUND(Honorarium!G26-Honorarium!G40,0)</f>
        <v>0</v>
      </c>
      <c r="AE26" s="82">
        <f>ROUND(Honorarium!H26-Honorarium!H40,0)</f>
        <v>0</v>
      </c>
      <c r="AF26" s="78">
        <f t="shared" si="2"/>
        <v>0</v>
      </c>
    </row>
    <row r="27" spans="1:32" ht="18" customHeight="1" x14ac:dyDescent="0.35">
      <c r="A27" s="76" t="s">
        <v>66</v>
      </c>
      <c r="B27" s="82">
        <f>ROUND(Materials!D26-Materials!D40,0)</f>
        <v>0</v>
      </c>
      <c r="C27" s="82"/>
      <c r="D27" s="82"/>
      <c r="E27" s="82"/>
      <c r="F27" s="82"/>
      <c r="G27" s="82"/>
      <c r="H27" s="82"/>
      <c r="I27" s="82"/>
      <c r="J27" s="82"/>
      <c r="K27" s="82"/>
      <c r="L27" s="82"/>
      <c r="M27" s="82"/>
      <c r="N27" s="82"/>
      <c r="O27" s="82">
        <f>ROUND(Materials!E26-Materials!E40,0)</f>
        <v>0</v>
      </c>
      <c r="P27" s="82"/>
      <c r="Q27" s="82"/>
      <c r="R27" s="82"/>
      <c r="S27" s="82"/>
      <c r="T27" s="82"/>
      <c r="U27" s="82"/>
      <c r="V27" s="82"/>
      <c r="W27" s="82"/>
      <c r="X27" s="82"/>
      <c r="Y27" s="82"/>
      <c r="Z27" s="82"/>
      <c r="AA27" s="82"/>
      <c r="AB27" s="82"/>
      <c r="AC27" s="82">
        <f>ROUND(Materials!F26-Materials!F40,0)</f>
        <v>0</v>
      </c>
      <c r="AD27" s="82">
        <f>ROUND(Materials!G26-Materials!G40,0)</f>
        <v>0</v>
      </c>
      <c r="AE27" s="82">
        <f>ROUND(Materials!H26-Materials!H40,0)</f>
        <v>0</v>
      </c>
      <c r="AF27" s="78">
        <f t="shared" si="2"/>
        <v>0</v>
      </c>
    </row>
    <row r="28" spans="1:32" ht="18" customHeight="1" x14ac:dyDescent="0.35">
      <c r="A28" s="76" t="s">
        <v>256</v>
      </c>
      <c r="B28" s="82" t="e">
        <f>ROUND(#REF!-#REF!,0)</f>
        <v>#REF!</v>
      </c>
      <c r="C28" s="82"/>
      <c r="D28" s="82"/>
      <c r="E28" s="82"/>
      <c r="F28" s="82"/>
      <c r="G28" s="82"/>
      <c r="H28" s="82"/>
      <c r="I28" s="82"/>
      <c r="J28" s="82"/>
      <c r="K28" s="82"/>
      <c r="L28" s="82"/>
      <c r="M28" s="82"/>
      <c r="N28" s="82"/>
      <c r="O28" s="82" t="e">
        <f>ROUND(#REF!-#REF!,0)</f>
        <v>#REF!</v>
      </c>
      <c r="P28" s="82"/>
      <c r="Q28" s="82"/>
      <c r="R28" s="82"/>
      <c r="S28" s="82"/>
      <c r="T28" s="82"/>
      <c r="U28" s="82"/>
      <c r="V28" s="82"/>
      <c r="W28" s="82"/>
      <c r="X28" s="82"/>
      <c r="Y28" s="82"/>
      <c r="Z28" s="82"/>
      <c r="AA28" s="82"/>
      <c r="AB28" s="82"/>
      <c r="AC28" s="82" t="e">
        <f>ROUND(#REF!-#REF!,0)</f>
        <v>#REF!</v>
      </c>
      <c r="AD28" s="82" t="e">
        <f>ROUND(#REF!-#REF!,0)</f>
        <v>#REF!</v>
      </c>
      <c r="AE28" s="82" t="e">
        <f>ROUND(#REF!-#REF!,0)</f>
        <v>#REF!</v>
      </c>
      <c r="AF28" s="78" t="e">
        <f t="shared" si="2"/>
        <v>#REF!</v>
      </c>
    </row>
    <row r="29" spans="1:32" ht="18" customHeight="1" x14ac:dyDescent="0.35">
      <c r="A29" s="76" t="s">
        <v>239</v>
      </c>
      <c r="B29" s="82">
        <f>ROUND(Services_Consulting!D26-Services_Consulting!D40,0)</f>
        <v>0</v>
      </c>
      <c r="C29" s="82"/>
      <c r="D29" s="82"/>
      <c r="E29" s="82"/>
      <c r="F29" s="82"/>
      <c r="G29" s="82"/>
      <c r="H29" s="82"/>
      <c r="I29" s="82"/>
      <c r="J29" s="82"/>
      <c r="K29" s="82"/>
      <c r="L29" s="82"/>
      <c r="M29" s="82"/>
      <c r="N29" s="82"/>
      <c r="O29" s="82">
        <f>ROUND(Services_Consulting!E26-Services_Consulting!E40,0)</f>
        <v>0</v>
      </c>
      <c r="P29" s="82"/>
      <c r="Q29" s="82"/>
      <c r="R29" s="82"/>
      <c r="S29" s="82"/>
      <c r="T29" s="82"/>
      <c r="U29" s="82"/>
      <c r="V29" s="82"/>
      <c r="W29" s="82"/>
      <c r="X29" s="82"/>
      <c r="Y29" s="82"/>
      <c r="Z29" s="82"/>
      <c r="AA29" s="82"/>
      <c r="AB29" s="82"/>
      <c r="AC29" s="82">
        <f>ROUND(Services_Consulting!F26-Services_Consulting!F40,0)</f>
        <v>0</v>
      </c>
      <c r="AD29" s="82">
        <f>ROUND(Services_Consulting!G26-Services_Consulting!G40,0)</f>
        <v>0</v>
      </c>
      <c r="AE29" s="82">
        <f>ROUND(Services_Consulting!H26-Services_Consulting!H40,0)</f>
        <v>0</v>
      </c>
      <c r="AF29" s="78">
        <f t="shared" si="2"/>
        <v>0</v>
      </c>
    </row>
    <row r="30" spans="1:32" ht="18" customHeight="1" x14ac:dyDescent="0.35">
      <c r="A30" s="76" t="s">
        <v>68</v>
      </c>
      <c r="B30" s="82">
        <f>ROUND('Participant Costs'!D26-'Participant Costs'!D40,0)</f>
        <v>0</v>
      </c>
      <c r="C30" s="82"/>
      <c r="D30" s="82"/>
      <c r="E30" s="82"/>
      <c r="F30" s="82"/>
      <c r="G30" s="82"/>
      <c r="H30" s="82"/>
      <c r="I30" s="82"/>
      <c r="J30" s="82"/>
      <c r="K30" s="82"/>
      <c r="L30" s="82"/>
      <c r="M30" s="82"/>
      <c r="N30" s="82"/>
      <c r="O30" s="82">
        <f>ROUND('Participant Costs'!E26-'Participant Costs'!E40,0)</f>
        <v>0</v>
      </c>
      <c r="P30" s="82"/>
      <c r="Q30" s="82"/>
      <c r="R30" s="82"/>
      <c r="S30" s="82"/>
      <c r="T30" s="82"/>
      <c r="U30" s="82"/>
      <c r="V30" s="82"/>
      <c r="W30" s="82"/>
      <c r="X30" s="82"/>
      <c r="Y30" s="82"/>
      <c r="Z30" s="82"/>
      <c r="AA30" s="82"/>
      <c r="AB30" s="82"/>
      <c r="AC30" s="82">
        <f>ROUND('Participant Costs'!F26-'Participant Costs'!F40,0)</f>
        <v>0</v>
      </c>
      <c r="AD30" s="82">
        <f>ROUND('Participant Costs'!G26-'Participant Costs'!G40,0)</f>
        <v>0</v>
      </c>
      <c r="AE30" s="82">
        <f>ROUND('Participant Costs'!H26-'Participant Costs'!H40,0)</f>
        <v>0</v>
      </c>
      <c r="AF30" s="78">
        <f t="shared" si="2"/>
        <v>0</v>
      </c>
    </row>
    <row r="31" spans="1:32" ht="18" customHeight="1" x14ac:dyDescent="0.35">
      <c r="A31" s="83" t="s">
        <v>69</v>
      </c>
      <c r="B31" s="108">
        <f>ROUND(Tuition!D26-Tuition!D40,0)</f>
        <v>0</v>
      </c>
      <c r="C31" s="108"/>
      <c r="D31" s="108"/>
      <c r="E31" s="108"/>
      <c r="F31" s="108"/>
      <c r="G31" s="108"/>
      <c r="H31" s="108"/>
      <c r="I31" s="108"/>
      <c r="J31" s="108"/>
      <c r="K31" s="108"/>
      <c r="L31" s="108"/>
      <c r="M31" s="108"/>
      <c r="N31" s="108"/>
      <c r="O31" s="108">
        <f>ROUND(Tuition!E26-Tuition!E40,0)</f>
        <v>0</v>
      </c>
      <c r="P31" s="108"/>
      <c r="Q31" s="108"/>
      <c r="R31" s="108"/>
      <c r="S31" s="108"/>
      <c r="T31" s="108"/>
      <c r="U31" s="108"/>
      <c r="V31" s="108"/>
      <c r="W31" s="108"/>
      <c r="X31" s="108"/>
      <c r="Y31" s="108"/>
      <c r="Z31" s="108"/>
      <c r="AA31" s="108"/>
      <c r="AB31" s="108"/>
      <c r="AC31" s="108">
        <f>ROUND(Tuition!F26-Tuition!F40,0)</f>
        <v>0</v>
      </c>
      <c r="AD31" s="108">
        <f>ROUND(Tuition!G26-Tuition!G40,0)</f>
        <v>0</v>
      </c>
      <c r="AE31" s="108">
        <f>ROUND(Tuition!H26-Tuition!H40,0)</f>
        <v>0</v>
      </c>
      <c r="AF31" s="78">
        <f t="shared" si="2"/>
        <v>0</v>
      </c>
    </row>
    <row r="32" spans="1:32" ht="18" customHeight="1" x14ac:dyDescent="0.35">
      <c r="A32" s="76" t="s">
        <v>61</v>
      </c>
      <c r="B32" s="82">
        <f>ROUND('Other DC'!D26-'Other DC'!D40,0)</f>
        <v>0</v>
      </c>
      <c r="C32" s="82"/>
      <c r="D32" s="82"/>
      <c r="E32" s="82"/>
      <c r="F32" s="82"/>
      <c r="G32" s="82"/>
      <c r="H32" s="82"/>
      <c r="I32" s="82"/>
      <c r="J32" s="82"/>
      <c r="K32" s="82"/>
      <c r="L32" s="82"/>
      <c r="M32" s="82"/>
      <c r="N32" s="82"/>
      <c r="O32" s="82">
        <f>ROUND('Other DC'!E26-'Other DC'!E40,0)</f>
        <v>0</v>
      </c>
      <c r="P32" s="82"/>
      <c r="Q32" s="82"/>
      <c r="R32" s="82"/>
      <c r="S32" s="82"/>
      <c r="T32" s="82"/>
      <c r="U32" s="82"/>
      <c r="V32" s="82"/>
      <c r="W32" s="82"/>
      <c r="X32" s="82"/>
      <c r="Y32" s="82"/>
      <c r="Z32" s="82"/>
      <c r="AA32" s="82"/>
      <c r="AB32" s="82"/>
      <c r="AC32" s="82">
        <f>ROUND('Other DC'!F26-'Other DC'!F40,0)</f>
        <v>0</v>
      </c>
      <c r="AD32" s="82">
        <f>ROUND('Other DC'!G26-'Other DC'!G40,0)</f>
        <v>0</v>
      </c>
      <c r="AE32" s="82">
        <f>ROUND('Other DC'!H26-'Other DC'!H40,0)</f>
        <v>0</v>
      </c>
      <c r="AF32" s="78">
        <f t="shared" si="2"/>
        <v>0</v>
      </c>
    </row>
    <row r="33" spans="1:34" ht="18" customHeight="1" x14ac:dyDescent="0.35">
      <c r="A33" s="84" t="s">
        <v>70</v>
      </c>
      <c r="B33" s="85" t="e">
        <f>ROUND(SUM(B22:B32)-B24-B25,0)</f>
        <v>#REF!</v>
      </c>
      <c r="C33" s="85"/>
      <c r="D33" s="85"/>
      <c r="E33" s="85"/>
      <c r="F33" s="85"/>
      <c r="G33" s="85"/>
      <c r="H33" s="85"/>
      <c r="I33" s="85"/>
      <c r="J33" s="85"/>
      <c r="K33" s="85"/>
      <c r="L33" s="85"/>
      <c r="M33" s="85"/>
      <c r="N33" s="85"/>
      <c r="O33" s="85" t="e">
        <f>ROUND(SUM(O22:O32)-O24-O25,0)</f>
        <v>#REF!</v>
      </c>
      <c r="P33" s="85"/>
      <c r="Q33" s="85"/>
      <c r="R33" s="85"/>
      <c r="S33" s="85"/>
      <c r="T33" s="85"/>
      <c r="U33" s="85"/>
      <c r="V33" s="85"/>
      <c r="W33" s="85"/>
      <c r="X33" s="85"/>
      <c r="Y33" s="85"/>
      <c r="Z33" s="85"/>
      <c r="AA33" s="85"/>
      <c r="AB33" s="85"/>
      <c r="AC33" s="85" t="e">
        <f>ROUND(SUM(AC22:AC32)-AC24-AC25,0)</f>
        <v>#REF!</v>
      </c>
      <c r="AD33" s="85" t="e">
        <f>ROUND(SUM(AD22:AD32)-AD24-AD25,0)</f>
        <v>#REF!</v>
      </c>
      <c r="AE33" s="85" t="e">
        <f>ROUND(SUM(AE22:AE32)-AE24-AE25,0)</f>
        <v>#REF!</v>
      </c>
      <c r="AF33" s="85" t="e">
        <f t="shared" si="2"/>
        <v>#REF!</v>
      </c>
    </row>
    <row r="34" spans="1:34" ht="18.600000000000001" customHeight="1" thickBot="1" x14ac:dyDescent="0.4">
      <c r="A34" s="56" t="s">
        <v>71</v>
      </c>
      <c r="B34" s="86" t="e">
        <f>ROUND(B33+B19+B11,0)</f>
        <v>#REF!</v>
      </c>
      <c r="C34" s="86"/>
      <c r="D34" s="86"/>
      <c r="E34" s="86"/>
      <c r="F34" s="86"/>
      <c r="G34" s="86"/>
      <c r="H34" s="86"/>
      <c r="I34" s="86"/>
      <c r="J34" s="86"/>
      <c r="K34" s="86"/>
      <c r="L34" s="86"/>
      <c r="M34" s="86"/>
      <c r="N34" s="86"/>
      <c r="O34" s="86" t="e">
        <f>ROUND(O33+O19+O11,0)</f>
        <v>#REF!</v>
      </c>
      <c r="P34" s="86"/>
      <c r="Q34" s="86"/>
      <c r="R34" s="86"/>
      <c r="S34" s="86"/>
      <c r="T34" s="86"/>
      <c r="U34" s="86"/>
      <c r="V34" s="86"/>
      <c r="W34" s="86"/>
      <c r="X34" s="86"/>
      <c r="Y34" s="86"/>
      <c r="Z34" s="86"/>
      <c r="AA34" s="86"/>
      <c r="AB34" s="86"/>
      <c r="AC34" s="86" t="e">
        <f>ROUND(AC33+AC19+AC11,0)</f>
        <v>#REF!</v>
      </c>
      <c r="AD34" s="86" t="e">
        <f>ROUND(AD33+AD19+AD11,0)</f>
        <v>#REF!</v>
      </c>
      <c r="AE34" s="86" t="e">
        <f>ROUND(AE33+AE19+AE11,0)</f>
        <v>#REF!</v>
      </c>
      <c r="AF34" s="86" t="e">
        <f t="shared" si="2"/>
        <v>#REF!</v>
      </c>
    </row>
    <row r="35" spans="1:34" ht="18.600000000000001" customHeight="1" thickTop="1" x14ac:dyDescent="0.35">
      <c r="A35" s="87" t="s">
        <v>72</v>
      </c>
      <c r="B35" s="77">
        <f>ROUND(Subcontracts!D39,0)</f>
        <v>0</v>
      </c>
      <c r="C35" s="77"/>
      <c r="D35" s="77"/>
      <c r="E35" s="77"/>
      <c r="F35" s="77"/>
      <c r="G35" s="77"/>
      <c r="H35" s="77"/>
      <c r="I35" s="77"/>
      <c r="J35" s="77"/>
      <c r="K35" s="77"/>
      <c r="L35" s="77"/>
      <c r="M35" s="77"/>
      <c r="N35" s="77"/>
      <c r="O35" s="77">
        <f>ROUND(Subcontracts!E39,0)</f>
        <v>0</v>
      </c>
      <c r="P35" s="77"/>
      <c r="Q35" s="77"/>
      <c r="R35" s="77"/>
      <c r="S35" s="77"/>
      <c r="T35" s="77"/>
      <c r="U35" s="77"/>
      <c r="V35" s="77"/>
      <c r="W35" s="77"/>
      <c r="X35" s="77"/>
      <c r="Y35" s="77"/>
      <c r="Z35" s="77"/>
      <c r="AA35" s="77"/>
      <c r="AB35" s="77"/>
      <c r="AC35" s="77">
        <f>ROUND(Subcontracts!F39,0)</f>
        <v>0</v>
      </c>
      <c r="AD35" s="77">
        <f>ROUND(Subcontracts!G39,0)</f>
        <v>0</v>
      </c>
      <c r="AE35" s="77">
        <f>ROUND(Subcontracts!H39,0)</f>
        <v>0</v>
      </c>
      <c r="AF35" s="78">
        <f t="shared" si="2"/>
        <v>0</v>
      </c>
    </row>
    <row r="36" spans="1:34" ht="18" customHeight="1" x14ac:dyDescent="0.35">
      <c r="A36" s="87" t="s">
        <v>73</v>
      </c>
      <c r="B36" s="77">
        <f>ROUND(Subcontracts!D40,0)</f>
        <v>0</v>
      </c>
      <c r="C36" s="77"/>
      <c r="D36" s="77"/>
      <c r="E36" s="77"/>
      <c r="F36" s="77"/>
      <c r="G36" s="77"/>
      <c r="H36" s="77"/>
      <c r="I36" s="77"/>
      <c r="J36" s="77"/>
      <c r="K36" s="77"/>
      <c r="L36" s="77"/>
      <c r="M36" s="77"/>
      <c r="N36" s="77"/>
      <c r="O36" s="77">
        <f>ROUND(Subcontracts!E40,0)</f>
        <v>0</v>
      </c>
      <c r="P36" s="77"/>
      <c r="Q36" s="77"/>
      <c r="R36" s="77"/>
      <c r="S36" s="77"/>
      <c r="T36" s="77"/>
      <c r="U36" s="77"/>
      <c r="V36" s="77"/>
      <c r="W36" s="77"/>
      <c r="X36" s="77"/>
      <c r="Y36" s="77"/>
      <c r="Z36" s="77"/>
      <c r="AA36" s="77"/>
      <c r="AB36" s="77"/>
      <c r="AC36" s="77">
        <f>ROUND(Subcontracts!F40,0)</f>
        <v>0</v>
      </c>
      <c r="AD36" s="77">
        <f>ROUND(Subcontracts!G40,0)</f>
        <v>0</v>
      </c>
      <c r="AE36" s="77">
        <f>ROUND(Subcontracts!H40,0)</f>
        <v>0</v>
      </c>
      <c r="AF36" s="78">
        <f t="shared" si="2"/>
        <v>0</v>
      </c>
    </row>
    <row r="37" spans="1:34" ht="18" customHeight="1" x14ac:dyDescent="0.35">
      <c r="A37" s="84" t="s">
        <v>74</v>
      </c>
      <c r="B37" s="85">
        <f>ROUND(SUM(B35:B36),0)</f>
        <v>0</v>
      </c>
      <c r="C37" s="85"/>
      <c r="D37" s="85"/>
      <c r="E37" s="85"/>
      <c r="F37" s="85"/>
      <c r="G37" s="85"/>
      <c r="H37" s="85"/>
      <c r="I37" s="85"/>
      <c r="J37" s="85"/>
      <c r="K37" s="85"/>
      <c r="L37" s="85"/>
      <c r="M37" s="85"/>
      <c r="N37" s="85"/>
      <c r="O37" s="85">
        <f>ROUND(SUM(O35:O36),0)</f>
        <v>0</v>
      </c>
      <c r="P37" s="85"/>
      <c r="Q37" s="85"/>
      <c r="R37" s="85"/>
      <c r="S37" s="85"/>
      <c r="T37" s="85"/>
      <c r="U37" s="85"/>
      <c r="V37" s="85"/>
      <c r="W37" s="85"/>
      <c r="X37" s="85"/>
      <c r="Y37" s="85"/>
      <c r="Z37" s="85"/>
      <c r="AA37" s="85"/>
      <c r="AB37" s="85"/>
      <c r="AC37" s="85">
        <f>ROUND(SUM(AC35:AC36),0)</f>
        <v>0</v>
      </c>
      <c r="AD37" s="85">
        <f>ROUND(SUM(AD35:AD36),0)</f>
        <v>0</v>
      </c>
      <c r="AE37" s="85">
        <f>ROUND(SUM(AE35:AE36),0)</f>
        <v>0</v>
      </c>
      <c r="AF37" s="85">
        <f t="shared" si="2"/>
        <v>0</v>
      </c>
    </row>
    <row r="38" spans="1:34" ht="18" customHeight="1" x14ac:dyDescent="0.35">
      <c r="A38" s="72"/>
      <c r="B38" s="78"/>
      <c r="C38" s="78"/>
      <c r="D38" s="78"/>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row>
    <row r="39" spans="1:34" ht="18.600000000000001" customHeight="1" thickBot="1" x14ac:dyDescent="0.4">
      <c r="A39" s="88" t="s">
        <v>75</v>
      </c>
      <c r="B39" s="86" t="e">
        <f>ROUND(B34+B37,0)</f>
        <v>#REF!</v>
      </c>
      <c r="C39" s="86"/>
      <c r="D39" s="86"/>
      <c r="E39" s="86"/>
      <c r="F39" s="86"/>
      <c r="G39" s="86"/>
      <c r="H39" s="86"/>
      <c r="I39" s="86"/>
      <c r="J39" s="86"/>
      <c r="K39" s="86"/>
      <c r="L39" s="86"/>
      <c r="M39" s="86"/>
      <c r="N39" s="86"/>
      <c r="O39" s="86" t="e">
        <f>ROUND(O34+O37,0)</f>
        <v>#REF!</v>
      </c>
      <c r="P39" s="86"/>
      <c r="Q39" s="86"/>
      <c r="R39" s="86"/>
      <c r="S39" s="86"/>
      <c r="T39" s="86"/>
      <c r="U39" s="86"/>
      <c r="V39" s="86"/>
      <c r="W39" s="86"/>
      <c r="X39" s="86"/>
      <c r="Y39" s="86"/>
      <c r="Z39" s="86"/>
      <c r="AA39" s="86"/>
      <c r="AB39" s="86"/>
      <c r="AC39" s="86" t="e">
        <f>ROUND(AC34+AC37,0)</f>
        <v>#REF!</v>
      </c>
      <c r="AD39" s="86" t="e">
        <f>ROUND(AD34+AD37,0)</f>
        <v>#REF!</v>
      </c>
      <c r="AE39" s="86" t="e">
        <f>ROUND(AE34+AE37,0)</f>
        <v>#REF!</v>
      </c>
      <c r="AF39" s="86" t="e">
        <f>ROUND(SUM(B39:AE39),0)</f>
        <v>#REF!</v>
      </c>
      <c r="AG39" s="24"/>
    </row>
    <row r="40" spans="1:34" ht="18.600000000000001" customHeight="1" thickTop="1" x14ac:dyDescent="0.35">
      <c r="A40" s="204" t="s">
        <v>76</v>
      </c>
      <c r="B40" s="77" t="e">
        <f>ROUND(IF($A40="TDC",B39,B39-B22-B30-B31-B36),0)</f>
        <v>#REF!</v>
      </c>
      <c r="C40" s="77"/>
      <c r="D40" s="77"/>
      <c r="E40" s="77"/>
      <c r="F40" s="77"/>
      <c r="G40" s="77"/>
      <c r="H40" s="77"/>
      <c r="I40" s="77"/>
      <c r="J40" s="77"/>
      <c r="K40" s="77"/>
      <c r="L40" s="77"/>
      <c r="M40" s="77"/>
      <c r="N40" s="77"/>
      <c r="O40" s="77" t="e">
        <f>ROUND(IF($A40="TDC",O39,O39-O22-O30-O31-O36),0)</f>
        <v>#REF!</v>
      </c>
      <c r="P40" s="77"/>
      <c r="Q40" s="77"/>
      <c r="R40" s="77"/>
      <c r="S40" s="77"/>
      <c r="T40" s="77"/>
      <c r="U40" s="77"/>
      <c r="V40" s="77"/>
      <c r="W40" s="77"/>
      <c r="X40" s="77"/>
      <c r="Y40" s="77"/>
      <c r="Z40" s="77"/>
      <c r="AA40" s="77"/>
      <c r="AB40" s="77"/>
      <c r="AC40" s="77" t="e">
        <f>ROUND(IF($A40="TDC",AC39,AC39-AC22-AC30-AC31-AC36),0)</f>
        <v>#REF!</v>
      </c>
      <c r="AD40" s="77" t="e">
        <f>ROUND(IF($A40="TDC",AD39,AD39-AD22-AD30-AD31-AD36),0)</f>
        <v>#REF!</v>
      </c>
      <c r="AE40" s="77" t="e">
        <f>ROUND(IF($A40="TDC",AE39,AE39-AE22-AE30-AE31-AE36),0)</f>
        <v>#REF!</v>
      </c>
      <c r="AF40" s="77" t="e">
        <f>ROUND(SUM(B40:AE40),0)</f>
        <v>#REF!</v>
      </c>
    </row>
    <row r="41" spans="1:34" ht="18" customHeight="1" x14ac:dyDescent="0.35">
      <c r="A41" s="172" t="s">
        <v>77</v>
      </c>
      <c r="B41" s="173" t="e">
        <f ca="1">ROUND(IF($AE$48="Yes",B40*$AF$48,$B$48*B$40),0)</f>
        <v>#REF!</v>
      </c>
      <c r="C41" s="173"/>
      <c r="D41" s="173"/>
      <c r="E41" s="173"/>
      <c r="F41" s="173"/>
      <c r="G41" s="173"/>
      <c r="H41" s="173"/>
      <c r="I41" s="173"/>
      <c r="J41" s="173"/>
      <c r="K41" s="173"/>
      <c r="L41" s="173"/>
      <c r="M41" s="173"/>
      <c r="N41" s="173"/>
      <c r="O41" s="173" t="e">
        <f ca="1">ROUND(IF($AE$48="Yes",O40*$AF$48,$B$48*O$40),0)</f>
        <v>#REF!</v>
      </c>
      <c r="P41" s="173"/>
      <c r="Q41" s="173"/>
      <c r="R41" s="173"/>
      <c r="S41" s="173"/>
      <c r="T41" s="173"/>
      <c r="U41" s="173"/>
      <c r="V41" s="173"/>
      <c r="W41" s="173"/>
      <c r="X41" s="173"/>
      <c r="Y41" s="173"/>
      <c r="Z41" s="173"/>
      <c r="AA41" s="173"/>
      <c r="AB41" s="173"/>
      <c r="AC41" s="173" t="e">
        <f ca="1">ROUND(IF($AE$48="Yes",AC40*$AF$48,$B$48*AC$40),0)</f>
        <v>#REF!</v>
      </c>
      <c r="AD41" s="173" t="e">
        <f ca="1">ROUND(IF($AE$48="Yes",AD40*$AF$48,$B$48*AD$40),0)</f>
        <v>#REF!</v>
      </c>
      <c r="AE41" s="173" t="e">
        <f ca="1">ROUND(IF($AE$48="Yes",AE40*$AF$48,$B$48*AE$40),0)</f>
        <v>#REF!</v>
      </c>
      <c r="AF41" s="174" t="e">
        <f ca="1">ROUND(SUM(B41:AE41),0)</f>
        <v>#REF!</v>
      </c>
      <c r="AG41" s="12"/>
    </row>
    <row r="42" spans="1:34" ht="18" customHeight="1" x14ac:dyDescent="0.35">
      <c r="A42" s="172"/>
      <c r="B42" s="173"/>
      <c r="C42" s="173"/>
      <c r="D42" s="173"/>
      <c r="E42" s="173"/>
      <c r="F42" s="173"/>
      <c r="G42" s="173"/>
      <c r="H42" s="173"/>
      <c r="I42" s="173"/>
      <c r="J42" s="173"/>
      <c r="K42" s="173"/>
      <c r="L42" s="173"/>
      <c r="M42" s="173"/>
      <c r="N42" s="173"/>
      <c r="O42" s="173"/>
      <c r="P42" s="173"/>
      <c r="Q42" s="173"/>
      <c r="R42" s="173"/>
      <c r="S42" s="173"/>
      <c r="T42" s="173"/>
      <c r="U42" s="173"/>
      <c r="V42" s="173"/>
      <c r="W42" s="173"/>
      <c r="X42" s="173"/>
      <c r="Y42" s="173"/>
      <c r="Z42" s="173"/>
      <c r="AA42" s="173"/>
      <c r="AB42" s="173"/>
      <c r="AC42" s="173"/>
      <c r="AD42" s="173"/>
      <c r="AE42" s="173"/>
      <c r="AF42" s="174"/>
      <c r="AG42" s="12"/>
    </row>
    <row r="43" spans="1:34" ht="18.600000000000001" customHeight="1" thickBot="1" x14ac:dyDescent="0.4">
      <c r="A43" s="176" t="s">
        <v>78</v>
      </c>
      <c r="B43" s="80" t="e">
        <f ca="1">ROUND(B39+B41,0)</f>
        <v>#REF!</v>
      </c>
      <c r="C43" s="80"/>
      <c r="D43" s="80"/>
      <c r="E43" s="80"/>
      <c r="F43" s="80"/>
      <c r="G43" s="80"/>
      <c r="H43" s="80"/>
      <c r="I43" s="80"/>
      <c r="J43" s="80"/>
      <c r="K43" s="80"/>
      <c r="L43" s="80"/>
      <c r="M43" s="80"/>
      <c r="N43" s="80"/>
      <c r="O43" s="80" t="e">
        <f ca="1">ROUND(O39+O41,0)</f>
        <v>#REF!</v>
      </c>
      <c r="P43" s="80"/>
      <c r="Q43" s="80"/>
      <c r="R43" s="80"/>
      <c r="S43" s="80"/>
      <c r="T43" s="80"/>
      <c r="U43" s="80"/>
      <c r="V43" s="80"/>
      <c r="W43" s="80"/>
      <c r="X43" s="80"/>
      <c r="Y43" s="80"/>
      <c r="Z43" s="80"/>
      <c r="AA43" s="80"/>
      <c r="AB43" s="80"/>
      <c r="AC43" s="80" t="e">
        <f ca="1">ROUND(AC39+AC41,0)</f>
        <v>#REF!</v>
      </c>
      <c r="AD43" s="80" t="e">
        <f ca="1">ROUND(AD39+AD41,0)</f>
        <v>#REF!</v>
      </c>
      <c r="AE43" s="80" t="e">
        <f ca="1">ROUND(AE39+AE41,0)</f>
        <v>#REF!</v>
      </c>
      <c r="AF43" s="80" t="e">
        <f ca="1">ROUND(AF39+AF41,0)</f>
        <v>#REF!</v>
      </c>
      <c r="AG43" s="12"/>
    </row>
    <row r="44" spans="1:34" ht="18.600000000000001" customHeight="1" thickTop="1" x14ac:dyDescent="0.35">
      <c r="A44" s="175"/>
      <c r="B44" s="180"/>
      <c r="C44" s="180"/>
      <c r="D44" s="180"/>
      <c r="E44" s="180"/>
      <c r="F44" s="180"/>
      <c r="G44" s="180"/>
      <c r="H44" s="180"/>
      <c r="I44" s="180"/>
      <c r="J44" s="180"/>
      <c r="K44" s="180"/>
      <c r="L44" s="180"/>
      <c r="M44" s="180"/>
      <c r="N44" s="180"/>
      <c r="O44" s="180"/>
      <c r="P44" s="180"/>
      <c r="Q44" s="180"/>
      <c r="R44" s="180"/>
      <c r="S44" s="180"/>
      <c r="T44" s="180"/>
      <c r="U44" s="180"/>
      <c r="V44" s="180"/>
      <c r="W44" s="180"/>
      <c r="X44" s="180"/>
      <c r="Y44" s="180"/>
      <c r="Z44" s="180"/>
      <c r="AA44" s="180"/>
      <c r="AB44" s="180"/>
      <c r="AC44" s="180"/>
      <c r="AD44" s="180"/>
      <c r="AE44" s="180"/>
      <c r="AF44" s="180"/>
      <c r="AG44" s="12"/>
    </row>
    <row r="45" spans="1:34" ht="18" customHeight="1" x14ac:dyDescent="0.35">
      <c r="A45" s="177" t="s">
        <v>79</v>
      </c>
      <c r="B45" s="171">
        <f>'Cost Share'!B49</f>
        <v>0</v>
      </c>
      <c r="C45" s="171"/>
      <c r="D45" s="171"/>
      <c r="E45" s="171"/>
      <c r="F45" s="171"/>
      <c r="G45" s="171"/>
      <c r="H45" s="171"/>
      <c r="I45" s="171"/>
      <c r="J45" s="171"/>
      <c r="K45" s="171"/>
      <c r="L45" s="171"/>
      <c r="M45" s="171"/>
      <c r="N45" s="171"/>
      <c r="O45" s="171">
        <f>'Cost Share'!C49</f>
        <v>0</v>
      </c>
      <c r="P45" s="171"/>
      <c r="Q45" s="171"/>
      <c r="R45" s="171"/>
      <c r="S45" s="171"/>
      <c r="T45" s="171"/>
      <c r="U45" s="171"/>
      <c r="V45" s="171"/>
      <c r="W45" s="171"/>
      <c r="X45" s="171"/>
      <c r="Y45" s="171"/>
      <c r="Z45" s="171"/>
      <c r="AA45" s="171"/>
      <c r="AB45" s="171"/>
      <c r="AC45" s="171">
        <f>'Cost Share'!D49</f>
        <v>0</v>
      </c>
      <c r="AD45" s="171">
        <f>'Cost Share'!E49</f>
        <v>0</v>
      </c>
      <c r="AE45" s="171">
        <f>'Cost Share'!F49</f>
        <v>0</v>
      </c>
      <c r="AF45" s="171">
        <f>'Cost Share'!G49</f>
        <v>0</v>
      </c>
      <c r="AG45" s="12"/>
    </row>
    <row r="46" spans="1:34" ht="18.600000000000001" customHeight="1" thickBot="1" x14ac:dyDescent="0.4">
      <c r="A46" s="178" t="s">
        <v>80</v>
      </c>
      <c r="B46" s="179" t="e">
        <f ca="1">ROUND(B43+B45,0)</f>
        <v>#REF!</v>
      </c>
      <c r="C46" s="179"/>
      <c r="D46" s="179"/>
      <c r="E46" s="179"/>
      <c r="F46" s="179"/>
      <c r="G46" s="179"/>
      <c r="H46" s="179"/>
      <c r="I46" s="179"/>
      <c r="J46" s="179"/>
      <c r="K46" s="179"/>
      <c r="L46" s="179"/>
      <c r="M46" s="179"/>
      <c r="N46" s="179"/>
      <c r="O46" s="179" t="e">
        <f ca="1">ROUND(O43+O45,0)</f>
        <v>#REF!</v>
      </c>
      <c r="P46" s="179"/>
      <c r="Q46" s="179"/>
      <c r="R46" s="179"/>
      <c r="S46" s="179"/>
      <c r="T46" s="179"/>
      <c r="U46" s="179"/>
      <c r="V46" s="179"/>
      <c r="W46" s="179"/>
      <c r="X46" s="179"/>
      <c r="Y46" s="179"/>
      <c r="Z46" s="179"/>
      <c r="AA46" s="179"/>
      <c r="AB46" s="179"/>
      <c r="AC46" s="179" t="e">
        <f ca="1">ROUND(AC43+AC45,0)</f>
        <v>#REF!</v>
      </c>
      <c r="AD46" s="179" t="e">
        <f ca="1">ROUND(AD43+AD45,0)</f>
        <v>#REF!</v>
      </c>
      <c r="AE46" s="179" t="e">
        <f ca="1">ROUND(AE43+AE45,0)</f>
        <v>#REF!</v>
      </c>
      <c r="AF46" s="179" t="e">
        <f ca="1">ROUND(AF43+AF45,0)</f>
        <v>#REF!</v>
      </c>
      <c r="AG46" s="25"/>
      <c r="AH46" s="201"/>
    </row>
    <row r="47" spans="1:34" ht="18.600000000000001" customHeight="1" thickTop="1" x14ac:dyDescent="0.35">
      <c r="A47" s="89"/>
      <c r="B47" s="89"/>
      <c r="C47" s="89"/>
      <c r="D47" s="89"/>
      <c r="E47" s="89"/>
      <c r="F47" s="89"/>
      <c r="G47" s="89"/>
      <c r="H47" s="89"/>
      <c r="I47" s="89"/>
      <c r="J47" s="89"/>
      <c r="K47" s="89"/>
      <c r="L47" s="89"/>
      <c r="M47" s="89"/>
      <c r="N47" s="89"/>
      <c r="O47" s="89"/>
      <c r="P47" s="89"/>
      <c r="Q47" s="89"/>
      <c r="R47" s="89"/>
      <c r="S47" s="89"/>
      <c r="T47" s="89"/>
      <c r="U47" s="89"/>
      <c r="V47" s="89"/>
      <c r="W47" s="89"/>
      <c r="X47" s="89"/>
      <c r="Y47" s="89"/>
      <c r="Z47" s="89"/>
      <c r="AA47" s="89"/>
      <c r="AB47" s="89"/>
      <c r="AC47" s="89"/>
      <c r="AD47" s="89"/>
      <c r="AE47" s="89"/>
      <c r="AF47" s="70"/>
    </row>
    <row r="48" spans="1:34" ht="18" hidden="1" customHeight="1" x14ac:dyDescent="0.35">
      <c r="A48" s="109" t="s">
        <v>114</v>
      </c>
      <c r="B48" s="107">
        <f ca="1">OFFSET($A$55,MATCH(A49,A56:A60,0),MATCH(A50,B55:AC55,0))</f>
        <v>0.4</v>
      </c>
      <c r="C48" s="107"/>
      <c r="D48" s="107"/>
      <c r="E48" s="107"/>
      <c r="F48" s="107"/>
      <c r="G48" s="107"/>
      <c r="H48" s="107"/>
      <c r="I48" s="107"/>
      <c r="J48" s="107"/>
      <c r="K48" s="107"/>
      <c r="L48" s="107"/>
      <c r="M48" s="107"/>
      <c r="N48" s="107"/>
      <c r="O48" s="89"/>
      <c r="P48" s="89"/>
      <c r="Q48" s="89"/>
      <c r="R48" s="89"/>
      <c r="S48" s="89"/>
      <c r="T48" s="89"/>
      <c r="U48" s="89"/>
      <c r="V48" s="89"/>
      <c r="W48" s="89"/>
      <c r="X48" s="89"/>
      <c r="Y48" s="89"/>
      <c r="Z48" s="89"/>
      <c r="AA48" s="89"/>
      <c r="AB48" s="89"/>
      <c r="AC48" s="56" t="s">
        <v>82</v>
      </c>
      <c r="AD48" s="90"/>
      <c r="AE48" s="91" t="s">
        <v>34</v>
      </c>
      <c r="AF48" s="274">
        <v>0</v>
      </c>
    </row>
    <row r="49" spans="1:33" ht="18" hidden="1" customHeight="1" x14ac:dyDescent="0.35">
      <c r="A49" s="92" t="s">
        <v>117</v>
      </c>
      <c r="B49" s="93"/>
      <c r="C49" s="93"/>
      <c r="D49" s="93"/>
      <c r="E49" s="93"/>
      <c r="F49" s="93"/>
      <c r="G49" s="93"/>
      <c r="H49" s="93"/>
      <c r="I49" s="93"/>
      <c r="J49" s="93"/>
      <c r="K49" s="93"/>
      <c r="L49" s="93"/>
      <c r="M49" s="93"/>
      <c r="N49" s="93"/>
      <c r="O49" s="89"/>
      <c r="P49" s="89"/>
      <c r="Q49" s="89"/>
      <c r="R49" s="89"/>
      <c r="S49" s="89"/>
      <c r="T49" s="89"/>
      <c r="U49" s="89"/>
      <c r="V49" s="89"/>
      <c r="W49" s="89"/>
      <c r="X49" s="89"/>
      <c r="Y49" s="89"/>
      <c r="Z49" s="89"/>
      <c r="AA49" s="89"/>
      <c r="AB49" s="89"/>
      <c r="AC49" s="89"/>
      <c r="AD49" s="89"/>
      <c r="AE49" s="94" t="str">
        <f>IF(AE48="Yes","Waiver or Sponsor Policy Needed","")</f>
        <v/>
      </c>
      <c r="AF49" s="93"/>
    </row>
    <row r="50" spans="1:33" ht="18" hidden="1" customHeight="1" x14ac:dyDescent="0.35">
      <c r="A50" s="92" t="s">
        <v>84</v>
      </c>
      <c r="B50" s="93"/>
      <c r="C50" s="93"/>
      <c r="D50" s="93"/>
      <c r="E50" s="93"/>
      <c r="F50" s="93"/>
      <c r="G50" s="93"/>
      <c r="H50" s="93"/>
      <c r="I50" s="93"/>
      <c r="J50" s="93"/>
      <c r="K50" s="93"/>
      <c r="L50" s="93"/>
      <c r="M50" s="93"/>
      <c r="N50" s="93"/>
      <c r="O50" s="89"/>
      <c r="P50" s="89"/>
      <c r="Q50" s="89"/>
      <c r="R50" s="89"/>
      <c r="S50" s="89"/>
      <c r="T50" s="89"/>
      <c r="U50" s="89"/>
      <c r="V50" s="89"/>
      <c r="W50" s="89"/>
      <c r="X50" s="89"/>
      <c r="Y50" s="89"/>
      <c r="Z50" s="89"/>
      <c r="AA50" s="89"/>
      <c r="AB50" s="89"/>
      <c r="AC50" s="89"/>
      <c r="AD50" s="89"/>
      <c r="AE50" s="93"/>
      <c r="AF50" s="115" t="s">
        <v>85</v>
      </c>
    </row>
    <row r="51" spans="1:33" ht="18" hidden="1" customHeight="1" x14ac:dyDescent="0.35">
      <c r="A51" s="95"/>
      <c r="B51" s="95"/>
      <c r="C51" s="95"/>
      <c r="D51" s="95"/>
      <c r="E51" s="95"/>
      <c r="F51" s="95"/>
      <c r="G51" s="95"/>
      <c r="H51" s="95"/>
      <c r="I51" s="95"/>
      <c r="J51" s="95"/>
      <c r="K51" s="95"/>
      <c r="L51" s="95"/>
      <c r="M51" s="95"/>
      <c r="N51" s="95"/>
      <c r="O51" s="95"/>
      <c r="P51" s="95"/>
      <c r="Q51" s="95"/>
      <c r="R51" s="95"/>
      <c r="S51" s="95"/>
      <c r="T51" s="95"/>
      <c r="U51" s="95"/>
      <c r="V51" s="95"/>
      <c r="W51" s="95"/>
      <c r="X51" s="95"/>
      <c r="Y51" s="95"/>
      <c r="Z51" s="95"/>
      <c r="AA51" s="95"/>
      <c r="AB51" s="95"/>
      <c r="AC51" s="95"/>
      <c r="AD51" s="95"/>
      <c r="AE51" s="95"/>
      <c r="AF51" s="135">
        <v>0</v>
      </c>
      <c r="AG51" s="27"/>
    </row>
    <row r="52" spans="1:33" ht="18" hidden="1" customHeight="1" x14ac:dyDescent="0.35">
      <c r="A52" s="65" t="s">
        <v>115</v>
      </c>
      <c r="B52" s="71" t="s">
        <v>45</v>
      </c>
      <c r="C52" s="293"/>
      <c r="D52" s="293"/>
      <c r="E52" s="293"/>
      <c r="F52" s="293"/>
      <c r="G52" s="293"/>
      <c r="H52" s="293"/>
      <c r="I52" s="293"/>
      <c r="J52" s="293"/>
      <c r="K52" s="293"/>
      <c r="L52" s="293"/>
      <c r="M52" s="293"/>
      <c r="N52" s="293"/>
      <c r="O52" s="91" t="s">
        <v>34</v>
      </c>
      <c r="P52" s="91"/>
      <c r="Q52" s="91"/>
      <c r="R52" s="91"/>
      <c r="S52" s="91"/>
      <c r="T52" s="91"/>
      <c r="U52" s="91"/>
      <c r="V52" s="91"/>
      <c r="W52" s="91"/>
      <c r="X52" s="91"/>
      <c r="Y52" s="91"/>
      <c r="Z52" s="91"/>
      <c r="AA52" s="91"/>
      <c r="AB52" s="91"/>
      <c r="AC52" s="134">
        <v>0.03</v>
      </c>
      <c r="AD52" s="95"/>
      <c r="AE52" s="95"/>
      <c r="AF52" s="146" t="e">
        <f ca="1">AF51-AF43</f>
        <v>#REF!</v>
      </c>
    </row>
    <row r="53" spans="1:33" ht="18" hidden="1" customHeight="1" x14ac:dyDescent="0.35">
      <c r="A53" s="65"/>
      <c r="B53" s="71" t="s">
        <v>87</v>
      </c>
      <c r="C53" s="293"/>
      <c r="D53" s="293"/>
      <c r="E53" s="293"/>
      <c r="F53" s="293"/>
      <c r="G53" s="293"/>
      <c r="H53" s="293"/>
      <c r="I53" s="293"/>
      <c r="J53" s="293"/>
      <c r="K53" s="293"/>
      <c r="L53" s="293"/>
      <c r="M53" s="293"/>
      <c r="N53" s="293"/>
      <c r="O53" s="91" t="s">
        <v>33</v>
      </c>
      <c r="P53" s="91"/>
      <c r="Q53" s="91"/>
      <c r="R53" s="91"/>
      <c r="S53" s="91"/>
      <c r="T53" s="91"/>
      <c r="U53" s="91"/>
      <c r="V53" s="91"/>
      <c r="W53" s="91"/>
      <c r="X53" s="91"/>
      <c r="Y53" s="91"/>
      <c r="Z53" s="91"/>
      <c r="AA53" s="91"/>
      <c r="AB53" s="91"/>
      <c r="AC53" s="237"/>
      <c r="AD53" s="95"/>
      <c r="AE53" s="95"/>
      <c r="AF53" s="146"/>
    </row>
    <row r="54" spans="1:33" ht="18" hidden="1" customHeight="1" x14ac:dyDescent="0.35">
      <c r="A54" s="95"/>
      <c r="B54" s="95"/>
      <c r="C54" s="95"/>
      <c r="D54" s="95"/>
      <c r="E54" s="95"/>
      <c r="F54" s="95"/>
      <c r="G54" s="95"/>
      <c r="H54" s="95"/>
      <c r="I54" s="95"/>
      <c r="J54" s="95"/>
      <c r="K54" s="95"/>
      <c r="L54" s="95"/>
      <c r="M54" s="95"/>
      <c r="N54" s="95"/>
      <c r="O54" s="95"/>
      <c r="P54" s="95"/>
      <c r="Q54" s="95"/>
      <c r="R54" s="95"/>
      <c r="S54" s="95"/>
      <c r="T54" s="95"/>
      <c r="U54" s="95"/>
      <c r="V54" s="95"/>
      <c r="W54" s="95"/>
      <c r="X54" s="95"/>
      <c r="Y54" s="95"/>
      <c r="Z54" s="95"/>
      <c r="AA54" s="95"/>
      <c r="AB54" s="95"/>
      <c r="AC54" s="95"/>
      <c r="AD54" s="95"/>
      <c r="AE54" s="95"/>
      <c r="AF54" s="147" t="e">
        <f ca="1">AF52/AF51</f>
        <v>#REF!</v>
      </c>
    </row>
    <row r="55" spans="1:33" ht="35.4" hidden="1" customHeight="1" x14ac:dyDescent="0.35">
      <c r="A55" s="96"/>
      <c r="B55" s="97" t="s">
        <v>84</v>
      </c>
      <c r="C55" s="97"/>
      <c r="D55" s="97"/>
      <c r="E55" s="97"/>
      <c r="F55" s="97"/>
      <c r="G55" s="97"/>
      <c r="H55" s="97"/>
      <c r="I55" s="97"/>
      <c r="J55" s="97"/>
      <c r="K55" s="97"/>
      <c r="L55" s="97"/>
      <c r="M55" s="97"/>
      <c r="N55" s="97"/>
      <c r="O55" s="97" t="s">
        <v>88</v>
      </c>
      <c r="P55" s="97"/>
      <c r="Q55" s="97"/>
      <c r="R55" s="97"/>
      <c r="S55" s="97"/>
      <c r="T55" s="97"/>
      <c r="U55" s="97"/>
      <c r="V55" s="97"/>
      <c r="W55" s="97"/>
      <c r="X55" s="97"/>
      <c r="Y55" s="97"/>
      <c r="Z55" s="97"/>
      <c r="AA55" s="97"/>
      <c r="AB55" s="97"/>
      <c r="AC55" s="97"/>
      <c r="AD55" s="98"/>
      <c r="AE55" s="93"/>
      <c r="AF55" s="93"/>
    </row>
    <row r="56" spans="1:33" ht="18" hidden="1" customHeight="1" x14ac:dyDescent="0.35">
      <c r="A56" s="65" t="s">
        <v>116</v>
      </c>
      <c r="B56" s="103">
        <v>0.38500000000000001</v>
      </c>
      <c r="C56" s="103"/>
      <c r="D56" s="103"/>
      <c r="E56" s="103"/>
      <c r="F56" s="103"/>
      <c r="G56" s="103"/>
      <c r="H56" s="103"/>
      <c r="I56" s="103"/>
      <c r="J56" s="103"/>
      <c r="K56" s="103"/>
      <c r="L56" s="103"/>
      <c r="M56" s="103"/>
      <c r="N56" s="103"/>
      <c r="O56" s="103">
        <v>0.156</v>
      </c>
      <c r="P56" s="103"/>
      <c r="Q56" s="103"/>
      <c r="R56" s="103"/>
      <c r="S56" s="103"/>
      <c r="T56" s="103"/>
      <c r="U56" s="103"/>
      <c r="V56" s="103"/>
      <c r="W56" s="103"/>
      <c r="X56" s="103"/>
      <c r="Y56" s="103"/>
      <c r="Z56" s="103"/>
      <c r="AA56" s="103"/>
      <c r="AB56" s="103"/>
      <c r="AC56" s="103">
        <v>0</v>
      </c>
      <c r="AD56" s="100"/>
      <c r="AE56" s="205"/>
      <c r="AF56" s="93"/>
    </row>
    <row r="57" spans="1:33" ht="18" hidden="1" customHeight="1" x14ac:dyDescent="0.35">
      <c r="A57" s="65" t="s">
        <v>117</v>
      </c>
      <c r="B57" s="103">
        <v>0.4</v>
      </c>
      <c r="C57" s="103"/>
      <c r="D57" s="103"/>
      <c r="E57" s="103"/>
      <c r="F57" s="103"/>
      <c r="G57" s="103"/>
      <c r="H57" s="103"/>
      <c r="I57" s="103"/>
      <c r="J57" s="103"/>
      <c r="K57" s="103"/>
      <c r="L57" s="103"/>
      <c r="M57" s="103"/>
      <c r="N57" s="103"/>
      <c r="O57" s="103">
        <v>0.17</v>
      </c>
      <c r="P57" s="103"/>
      <c r="Q57" s="103"/>
      <c r="R57" s="103"/>
      <c r="S57" s="103"/>
      <c r="T57" s="103"/>
      <c r="U57" s="103"/>
      <c r="V57" s="103"/>
      <c r="W57" s="103"/>
      <c r="X57" s="103"/>
      <c r="Y57" s="103"/>
      <c r="Z57" s="103"/>
      <c r="AA57" s="103"/>
      <c r="AB57" s="103"/>
      <c r="AC57" s="103">
        <v>0</v>
      </c>
      <c r="AD57" s="100"/>
      <c r="AE57" s="93"/>
      <c r="AF57" s="93"/>
    </row>
    <row r="58" spans="1:33" ht="18" hidden="1" customHeight="1" x14ac:dyDescent="0.35">
      <c r="A58" s="99"/>
      <c r="B58" s="103">
        <v>0</v>
      </c>
      <c r="C58" s="103"/>
      <c r="D58" s="103"/>
      <c r="E58" s="103"/>
      <c r="F58" s="103"/>
      <c r="G58" s="103"/>
      <c r="H58" s="103"/>
      <c r="I58" s="103"/>
      <c r="J58" s="103"/>
      <c r="K58" s="103"/>
      <c r="L58" s="103"/>
      <c r="M58" s="103"/>
      <c r="N58" s="103"/>
      <c r="O58" s="103">
        <v>0</v>
      </c>
      <c r="P58" s="103"/>
      <c r="Q58" s="103"/>
      <c r="R58" s="103"/>
      <c r="S58" s="103"/>
      <c r="T58" s="103"/>
      <c r="U58" s="103"/>
      <c r="V58" s="103"/>
      <c r="W58" s="103"/>
      <c r="X58" s="103"/>
      <c r="Y58" s="103"/>
      <c r="Z58" s="103"/>
      <c r="AA58" s="103"/>
      <c r="AB58" s="103"/>
      <c r="AC58" s="103">
        <v>0</v>
      </c>
      <c r="AD58" s="100"/>
      <c r="AE58" s="93"/>
      <c r="AF58" s="93"/>
    </row>
    <row r="59" spans="1:33" ht="18" hidden="1" customHeight="1" x14ac:dyDescent="0.35">
      <c r="A59" s="99"/>
      <c r="B59" s="103">
        <v>0</v>
      </c>
      <c r="C59" s="103"/>
      <c r="D59" s="103"/>
      <c r="E59" s="103"/>
      <c r="F59" s="103"/>
      <c r="G59" s="103"/>
      <c r="H59" s="103"/>
      <c r="I59" s="103"/>
      <c r="J59" s="103"/>
      <c r="K59" s="103"/>
      <c r="L59" s="103"/>
      <c r="M59" s="103"/>
      <c r="N59" s="103"/>
      <c r="O59" s="103">
        <v>0</v>
      </c>
      <c r="P59" s="103"/>
      <c r="Q59" s="103"/>
      <c r="R59" s="103"/>
      <c r="S59" s="103"/>
      <c r="T59" s="103"/>
      <c r="U59" s="103"/>
      <c r="V59" s="103"/>
      <c r="W59" s="103"/>
      <c r="X59" s="103"/>
      <c r="Y59" s="103"/>
      <c r="Z59" s="103"/>
      <c r="AA59" s="103"/>
      <c r="AB59" s="103"/>
      <c r="AC59" s="103">
        <v>0</v>
      </c>
      <c r="AD59" s="100"/>
      <c r="AE59" s="93"/>
      <c r="AF59" s="93"/>
    </row>
    <row r="60" spans="1:33" ht="18.600000000000001" hidden="1" customHeight="1" thickBot="1" x14ac:dyDescent="0.4">
      <c r="A60" s="101"/>
      <c r="B60" s="104">
        <v>0</v>
      </c>
      <c r="C60" s="104"/>
      <c r="D60" s="104"/>
      <c r="E60" s="104"/>
      <c r="F60" s="104"/>
      <c r="G60" s="104"/>
      <c r="H60" s="104"/>
      <c r="I60" s="104"/>
      <c r="J60" s="104"/>
      <c r="K60" s="104"/>
      <c r="L60" s="104"/>
      <c r="M60" s="104"/>
      <c r="N60" s="104"/>
      <c r="O60" s="104">
        <v>0</v>
      </c>
      <c r="P60" s="104"/>
      <c r="Q60" s="104"/>
      <c r="R60" s="104"/>
      <c r="S60" s="104"/>
      <c r="T60" s="104"/>
      <c r="U60" s="104"/>
      <c r="V60" s="104"/>
      <c r="W60" s="104"/>
      <c r="X60" s="104"/>
      <c r="Y60" s="104"/>
      <c r="Z60" s="104"/>
      <c r="AA60" s="104"/>
      <c r="AB60" s="104"/>
      <c r="AC60" s="104">
        <v>0</v>
      </c>
      <c r="AD60" s="102"/>
      <c r="AE60" s="93"/>
      <c r="AF60" s="93"/>
    </row>
    <row r="62" spans="1:33" hidden="1" x14ac:dyDescent="0.3">
      <c r="A62" s="120" t="s">
        <v>95</v>
      </c>
      <c r="B62" s="42" t="s">
        <v>76</v>
      </c>
      <c r="C62" s="42"/>
      <c r="D62" s="42"/>
      <c r="E62" s="42"/>
      <c r="F62" s="42"/>
      <c r="G62" s="42"/>
      <c r="H62" s="42"/>
      <c r="I62" s="42"/>
      <c r="J62" s="42"/>
      <c r="K62" s="42"/>
      <c r="L62" s="42"/>
      <c r="M62" s="42"/>
      <c r="N62" s="42"/>
      <c r="O62" s="63"/>
      <c r="P62" s="63"/>
      <c r="Q62" s="63"/>
      <c r="R62" s="63"/>
      <c r="S62" s="63"/>
      <c r="T62" s="63"/>
      <c r="U62" s="63"/>
      <c r="V62" s="63"/>
      <c r="W62" s="63"/>
      <c r="X62" s="63"/>
      <c r="Y62" s="63"/>
      <c r="Z62" s="63"/>
      <c r="AA62" s="63"/>
      <c r="AB62" s="63"/>
    </row>
    <row r="63" spans="1:33" hidden="1" x14ac:dyDescent="0.3">
      <c r="A63" s="42"/>
      <c r="B63" s="42" t="s">
        <v>96</v>
      </c>
      <c r="C63" s="42"/>
      <c r="D63" s="42"/>
      <c r="E63" s="42"/>
      <c r="F63" s="42"/>
      <c r="G63" s="42"/>
      <c r="H63" s="42"/>
      <c r="I63" s="42"/>
      <c r="J63" s="42"/>
      <c r="K63" s="42"/>
      <c r="L63" s="42"/>
      <c r="M63" s="42"/>
      <c r="N63" s="42"/>
      <c r="O63" s="63"/>
      <c r="P63" s="63"/>
      <c r="Q63" s="63"/>
      <c r="R63" s="63"/>
      <c r="S63" s="63"/>
      <c r="T63" s="63"/>
      <c r="U63" s="63"/>
      <c r="V63" s="63"/>
      <c r="W63" s="63"/>
      <c r="X63" s="63"/>
      <c r="Y63" s="63"/>
      <c r="Z63" s="63"/>
      <c r="AA63" s="63"/>
      <c r="AB63" s="63"/>
    </row>
    <row r="64" spans="1:33" hidden="1" x14ac:dyDescent="0.3">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row>
    <row r="65" spans="1:28" hidden="1" x14ac:dyDescent="0.3">
      <c r="A65" s="63"/>
      <c r="B65" s="42" t="s">
        <v>33</v>
      </c>
      <c r="C65" s="42"/>
      <c r="D65" s="42"/>
      <c r="E65" s="42"/>
      <c r="F65" s="42"/>
      <c r="G65" s="42"/>
      <c r="H65" s="42"/>
      <c r="I65" s="42"/>
      <c r="J65" s="42"/>
      <c r="K65" s="42"/>
      <c r="L65" s="42"/>
      <c r="M65" s="42"/>
      <c r="N65" s="42"/>
      <c r="O65" s="63"/>
      <c r="P65" s="63"/>
      <c r="Q65" s="63"/>
      <c r="R65" s="63"/>
      <c r="S65" s="63"/>
      <c r="T65" s="63"/>
      <c r="U65" s="63"/>
      <c r="V65" s="63"/>
      <c r="W65" s="63"/>
      <c r="X65" s="63"/>
      <c r="Y65" s="63"/>
      <c r="Z65" s="63"/>
      <c r="AA65" s="63"/>
      <c r="AB65" s="63"/>
    </row>
    <row r="66" spans="1:28" hidden="1" x14ac:dyDescent="0.3">
      <c r="A66" s="63"/>
      <c r="B66" s="42" t="s">
        <v>34</v>
      </c>
      <c r="C66" s="42"/>
      <c r="D66" s="42"/>
      <c r="E66" s="42"/>
      <c r="F66" s="42"/>
      <c r="G66" s="42"/>
      <c r="H66" s="42"/>
      <c r="I66" s="42"/>
      <c r="J66" s="42"/>
      <c r="K66" s="42"/>
      <c r="L66" s="42"/>
      <c r="M66" s="42"/>
      <c r="N66" s="42"/>
      <c r="O66" s="63"/>
      <c r="P66" s="63"/>
      <c r="Q66" s="63"/>
      <c r="R66" s="63"/>
      <c r="S66" s="63"/>
      <c r="T66" s="63"/>
      <c r="U66" s="63"/>
      <c r="V66" s="63"/>
      <c r="W66" s="63"/>
      <c r="X66" s="63"/>
      <c r="Y66" s="63"/>
      <c r="Z66" s="63"/>
      <c r="AA66" s="63"/>
      <c r="AB66" s="63"/>
    </row>
    <row r="67" spans="1:28" hidden="1" x14ac:dyDescent="0.3">
      <c r="A67" s="63"/>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row>
  </sheetData>
  <dataValidations disablePrompts="1" count="4">
    <dataValidation type="list" allowBlank="1" showInputMessage="1" showErrorMessage="1" sqref="O52:AB53 AE48" xr:uid="{00000000-0002-0000-1000-000000000000}">
      <formula1>$B$65:$B$66</formula1>
    </dataValidation>
    <dataValidation type="list" allowBlank="1" showInputMessage="1" showErrorMessage="1" sqref="A49" xr:uid="{00000000-0002-0000-1000-000001000000}">
      <formula1>$A$56:$A$60</formula1>
    </dataValidation>
    <dataValidation type="list" allowBlank="1" showInputMessage="1" showErrorMessage="1" sqref="A40" xr:uid="{00000000-0002-0000-1000-000002000000}">
      <formula1>$B$62:$B$63</formula1>
    </dataValidation>
    <dataValidation type="list" allowBlank="1" showInputMessage="1" showErrorMessage="1" sqref="A50" xr:uid="{00000000-0002-0000-1000-000003000000}">
      <formula1>$B$55:$AC$55</formula1>
    </dataValidation>
  </dataValidations>
  <hyperlinks>
    <hyperlink ref="A48" r:id="rId1" xr:uid="{00000000-0004-0000-1000-000000000000}"/>
  </hyperlinks>
  <pageMargins left="0.7" right="0.7" top="0.75" bottom="0.75" header="0.3" footer="0.3"/>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151"/>
  <sheetViews>
    <sheetView zoomScale="98" zoomScaleNormal="98" workbookViewId="0">
      <selection activeCell="D24" sqref="D24"/>
    </sheetView>
  </sheetViews>
  <sheetFormatPr defaultColWidth="8.6640625" defaultRowHeight="14.4" x14ac:dyDescent="0.3"/>
  <cols>
    <col min="1" max="1" width="29.6640625" bestFit="1" customWidth="1"/>
    <col min="2" max="2" width="11.44140625" bestFit="1" customWidth="1"/>
    <col min="3" max="3" width="5.6640625" customWidth="1"/>
    <col min="4" max="4" width="21.6640625" bestFit="1" customWidth="1"/>
    <col min="5" max="5" width="11.33203125" bestFit="1" customWidth="1"/>
    <col min="6" max="6" width="5.6640625" customWidth="1"/>
    <col min="7" max="7" width="34.44140625" customWidth="1"/>
    <col min="8" max="8" width="10.44140625" bestFit="1" customWidth="1"/>
  </cols>
  <sheetData>
    <row r="1" spans="1:8" x14ac:dyDescent="0.3">
      <c r="A1" s="385"/>
      <c r="B1" s="385"/>
      <c r="D1" s="21"/>
      <c r="E1" s="17"/>
      <c r="G1" s="17"/>
      <c r="H1" s="119"/>
    </row>
    <row r="2" spans="1:8" x14ac:dyDescent="0.3">
      <c r="A2" s="385"/>
      <c r="B2" s="386"/>
      <c r="D2" s="21" t="s">
        <v>58</v>
      </c>
      <c r="E2" s="21" t="s">
        <v>257</v>
      </c>
      <c r="G2" s="17" t="s">
        <v>258</v>
      </c>
      <c r="H2" s="21" t="s">
        <v>257</v>
      </c>
    </row>
    <row r="3" spans="1:8" x14ac:dyDescent="0.3">
      <c r="D3" s="145" t="s">
        <v>52</v>
      </c>
      <c r="E3" s="144">
        <v>0.42</v>
      </c>
      <c r="G3" s="38" t="s">
        <v>481</v>
      </c>
      <c r="H3" s="362">
        <v>6699</v>
      </c>
    </row>
    <row r="4" spans="1:8" x14ac:dyDescent="0.3">
      <c r="D4" s="145" t="s">
        <v>142</v>
      </c>
      <c r="E4" s="144">
        <v>0.42</v>
      </c>
      <c r="G4" s="363" t="s">
        <v>482</v>
      </c>
      <c r="H4" s="362">
        <v>7638</v>
      </c>
    </row>
    <row r="5" spans="1:8" x14ac:dyDescent="0.3">
      <c r="D5" s="145" t="s">
        <v>59</v>
      </c>
      <c r="E5" s="144">
        <v>0.17499999999999999</v>
      </c>
      <c r="G5" s="38" t="s">
        <v>483</v>
      </c>
      <c r="H5" s="362">
        <v>10003</v>
      </c>
    </row>
    <row r="6" spans="1:8" x14ac:dyDescent="0.3">
      <c r="G6" s="38" t="s">
        <v>484</v>
      </c>
      <c r="H6" s="362">
        <v>13444</v>
      </c>
    </row>
    <row r="7" spans="1:8" x14ac:dyDescent="0.3">
      <c r="D7" s="145" t="s">
        <v>259</v>
      </c>
      <c r="E7" s="387">
        <v>0.32</v>
      </c>
      <c r="G7" s="38" t="s">
        <v>485</v>
      </c>
      <c r="H7" s="362">
        <v>4500</v>
      </c>
    </row>
    <row r="8" spans="1:8" x14ac:dyDescent="0.3">
      <c r="G8" s="350"/>
      <c r="H8" s="4"/>
    </row>
    <row r="9" spans="1:8" x14ac:dyDescent="0.3">
      <c r="D9" s="21" t="s">
        <v>260</v>
      </c>
      <c r="E9" s="17"/>
      <c r="G9" s="119" t="s">
        <v>261</v>
      </c>
      <c r="H9" s="1" t="s">
        <v>262</v>
      </c>
    </row>
    <row r="10" spans="1:8" x14ac:dyDescent="0.3">
      <c r="D10" s="17" t="s">
        <v>263</v>
      </c>
      <c r="E10" s="21" t="s">
        <v>257</v>
      </c>
      <c r="G10" s="118" t="s">
        <v>264</v>
      </c>
      <c r="H10" s="19">
        <v>26352</v>
      </c>
    </row>
    <row r="11" spans="1:8" x14ac:dyDescent="0.3">
      <c r="D11" s="145" t="s">
        <v>265</v>
      </c>
      <c r="E11" s="144">
        <v>7.6499999999999999E-2</v>
      </c>
      <c r="G11" s="384" t="s">
        <v>266</v>
      </c>
      <c r="H11" s="19">
        <v>63480</v>
      </c>
    </row>
    <row r="12" spans="1:8" x14ac:dyDescent="0.3">
      <c r="G12" s="384" t="s">
        <v>267</v>
      </c>
      <c r="H12" s="19">
        <v>63900</v>
      </c>
    </row>
    <row r="13" spans="1:8" x14ac:dyDescent="0.3">
      <c r="D13" s="21" t="s">
        <v>59</v>
      </c>
      <c r="E13" s="21" t="s">
        <v>257</v>
      </c>
      <c r="G13" s="118" t="s">
        <v>268</v>
      </c>
      <c r="H13" s="19">
        <v>64380</v>
      </c>
    </row>
    <row r="14" spans="1:8" x14ac:dyDescent="0.3">
      <c r="A14" s="364"/>
      <c r="B14" s="365"/>
      <c r="D14" s="145" t="s">
        <v>265</v>
      </c>
      <c r="E14" s="144">
        <v>7.6499999999999999E-2</v>
      </c>
      <c r="G14" s="118" t="s">
        <v>269</v>
      </c>
      <c r="H14" s="19">
        <v>66948</v>
      </c>
    </row>
    <row r="15" spans="1:8" x14ac:dyDescent="0.3">
      <c r="A15" s="364"/>
      <c r="B15" s="365"/>
      <c r="D15" s="145" t="s">
        <v>270</v>
      </c>
      <c r="E15" s="356">
        <f>526.76*12</f>
        <v>6321.12</v>
      </c>
      <c r="G15" s="384" t="s">
        <v>271</v>
      </c>
      <c r="H15" s="19">
        <v>69180</v>
      </c>
    </row>
    <row r="16" spans="1:8" x14ac:dyDescent="0.3">
      <c r="A16" s="364"/>
      <c r="B16" s="365"/>
      <c r="E16" s="353"/>
      <c r="G16" s="384" t="s">
        <v>272</v>
      </c>
      <c r="H16" s="19">
        <v>71748</v>
      </c>
    </row>
    <row r="17" spans="1:8" x14ac:dyDescent="0.3">
      <c r="A17" s="364"/>
      <c r="B17" s="365"/>
      <c r="G17" s="118" t="s">
        <v>273</v>
      </c>
      <c r="H17" s="19">
        <v>74424</v>
      </c>
    </row>
    <row r="18" spans="1:8" x14ac:dyDescent="0.3">
      <c r="A18" s="364"/>
      <c r="B18" s="365"/>
      <c r="G18" s="118" t="s">
        <v>274</v>
      </c>
      <c r="H18" s="19">
        <v>77076</v>
      </c>
    </row>
    <row r="19" spans="1:8" x14ac:dyDescent="0.3">
      <c r="A19" s="364"/>
      <c r="B19" s="365"/>
      <c r="G19" s="350"/>
      <c r="H19" s="4"/>
    </row>
    <row r="20" spans="1:8" x14ac:dyDescent="0.3">
      <c r="A20" s="366"/>
      <c r="B20" s="365"/>
      <c r="G20" s="350"/>
      <c r="H20" s="4"/>
    </row>
    <row r="21" spans="1:8" x14ac:dyDescent="0.3">
      <c r="A21" s="364"/>
      <c r="B21" s="365"/>
      <c r="H21" s="4"/>
    </row>
    <row r="22" spans="1:8" x14ac:dyDescent="0.3">
      <c r="A22" s="364"/>
      <c r="B22" s="365"/>
      <c r="H22" s="4"/>
    </row>
    <row r="23" spans="1:8" x14ac:dyDescent="0.3">
      <c r="A23" s="364"/>
      <c r="B23" s="365"/>
      <c r="G23" s="350"/>
      <c r="H23" s="4"/>
    </row>
    <row r="24" spans="1:8" x14ac:dyDescent="0.3">
      <c r="A24" s="364"/>
      <c r="B24" s="365"/>
      <c r="G24" s="350"/>
      <c r="H24" s="4"/>
    </row>
    <row r="25" spans="1:8" x14ac:dyDescent="0.3">
      <c r="A25" s="364"/>
      <c r="B25" s="365"/>
    </row>
    <row r="26" spans="1:8" x14ac:dyDescent="0.3">
      <c r="A26" s="364"/>
      <c r="B26" s="365"/>
      <c r="G26" s="435"/>
      <c r="H26" s="397"/>
    </row>
    <row r="27" spans="1:8" x14ac:dyDescent="0.3">
      <c r="A27" s="366"/>
      <c r="B27" s="365"/>
      <c r="G27" s="436"/>
      <c r="H27" s="397"/>
    </row>
    <row r="28" spans="1:8" x14ac:dyDescent="0.3">
      <c r="A28" s="364"/>
      <c r="B28" s="365"/>
    </row>
    <row r="29" spans="1:8" ht="15.6" customHeight="1" x14ac:dyDescent="0.3">
      <c r="A29" s="364"/>
      <c r="B29" s="365"/>
      <c r="G29" s="434"/>
      <c r="H29" s="397"/>
    </row>
    <row r="30" spans="1:8" ht="15.6" customHeight="1" x14ac:dyDescent="0.3">
      <c r="A30" s="364"/>
      <c r="B30" s="365"/>
      <c r="G30" s="434"/>
      <c r="H30" s="397"/>
    </row>
    <row r="31" spans="1:8" x14ac:dyDescent="0.3">
      <c r="A31" s="364"/>
      <c r="B31" s="365"/>
    </row>
    <row r="32" spans="1:8" ht="14.7" customHeight="1" x14ac:dyDescent="0.3">
      <c r="A32" s="364"/>
      <c r="B32" s="365"/>
    </row>
    <row r="33" spans="1:7" ht="14.7" customHeight="1" x14ac:dyDescent="0.3">
      <c r="A33" s="364"/>
      <c r="B33" s="365"/>
      <c r="G33" s="27"/>
    </row>
    <row r="34" spans="1:7" x14ac:dyDescent="0.3">
      <c r="A34" s="364"/>
      <c r="B34" s="365"/>
    </row>
    <row r="35" spans="1:7" x14ac:dyDescent="0.3">
      <c r="A35" s="364"/>
      <c r="B35" s="365"/>
    </row>
    <row r="36" spans="1:7" x14ac:dyDescent="0.3">
      <c r="A36" s="364"/>
      <c r="B36" s="365"/>
    </row>
    <row r="37" spans="1:7" x14ac:dyDescent="0.3">
      <c r="A37" s="364"/>
      <c r="B37" s="365"/>
    </row>
    <row r="38" spans="1:7" x14ac:dyDescent="0.3">
      <c r="A38" s="364"/>
      <c r="B38" s="365"/>
    </row>
    <row r="39" spans="1:7" x14ac:dyDescent="0.3">
      <c r="A39" s="364"/>
      <c r="B39" s="365"/>
    </row>
    <row r="40" spans="1:7" x14ac:dyDescent="0.3">
      <c r="A40" s="364"/>
      <c r="B40" s="365"/>
    </row>
    <row r="41" spans="1:7" x14ac:dyDescent="0.3">
      <c r="A41" s="364"/>
      <c r="B41" s="365"/>
      <c r="D41" s="206"/>
    </row>
    <row r="42" spans="1:7" x14ac:dyDescent="0.3">
      <c r="A42" s="366"/>
      <c r="B42" s="365"/>
    </row>
    <row r="43" spans="1:7" x14ac:dyDescent="0.3">
      <c r="A43" s="364"/>
      <c r="B43" s="365"/>
    </row>
    <row r="44" spans="1:7" x14ac:dyDescent="0.3">
      <c r="A44" s="364"/>
      <c r="B44" s="365"/>
    </row>
    <row r="45" spans="1:7" x14ac:dyDescent="0.3">
      <c r="A45" s="364"/>
      <c r="B45" s="365"/>
    </row>
    <row r="46" spans="1:7" x14ac:dyDescent="0.3">
      <c r="A46" s="366"/>
      <c r="B46" s="365"/>
    </row>
    <row r="47" spans="1:7" x14ac:dyDescent="0.3">
      <c r="A47" s="366"/>
      <c r="B47" s="367"/>
    </row>
    <row r="48" spans="1:7" x14ac:dyDescent="0.3">
      <c r="A48" s="364"/>
      <c r="B48" s="4"/>
    </row>
    <row r="49" spans="1:2" x14ac:dyDescent="0.3">
      <c r="A49" s="364"/>
      <c r="B49" s="4"/>
    </row>
    <row r="50" spans="1:2" x14ac:dyDescent="0.3">
      <c r="A50" s="364"/>
      <c r="B50" s="4"/>
    </row>
    <row r="51" spans="1:2" x14ac:dyDescent="0.3">
      <c r="A51" s="364"/>
      <c r="B51" s="4"/>
    </row>
    <row r="52" spans="1:2" x14ac:dyDescent="0.3">
      <c r="A52" s="364"/>
      <c r="B52" s="4"/>
    </row>
    <row r="53" spans="1:2" x14ac:dyDescent="0.3">
      <c r="A53" s="364"/>
      <c r="B53" s="4"/>
    </row>
    <row r="54" spans="1:2" x14ac:dyDescent="0.3">
      <c r="A54" s="368"/>
      <c r="B54" s="9"/>
    </row>
    <row r="55" spans="1:2" x14ac:dyDescent="0.3">
      <c r="A55" s="364"/>
      <c r="B55" s="4"/>
    </row>
    <row r="56" spans="1:2" x14ac:dyDescent="0.3">
      <c r="A56" s="369"/>
      <c r="B56" s="370"/>
    </row>
    <row r="57" spans="1:2" x14ac:dyDescent="0.3">
      <c r="A57" s="364"/>
      <c r="B57" s="4"/>
    </row>
    <row r="58" spans="1:2" x14ac:dyDescent="0.3">
      <c r="A58" s="364"/>
      <c r="B58" s="4"/>
    </row>
    <row r="59" spans="1:2" x14ac:dyDescent="0.3">
      <c r="A59" s="364"/>
      <c r="B59" s="4"/>
    </row>
    <row r="60" spans="1:2" x14ac:dyDescent="0.3">
      <c r="A60" s="364"/>
      <c r="B60" s="4"/>
    </row>
    <row r="61" spans="1:2" x14ac:dyDescent="0.3">
      <c r="A61" s="364"/>
      <c r="B61" s="4"/>
    </row>
    <row r="62" spans="1:2" x14ac:dyDescent="0.3">
      <c r="A62" s="364"/>
      <c r="B62" s="4"/>
    </row>
    <row r="63" spans="1:2" x14ac:dyDescent="0.3">
      <c r="A63" s="364"/>
      <c r="B63" s="4"/>
    </row>
    <row r="64" spans="1:2" x14ac:dyDescent="0.3">
      <c r="A64" s="364"/>
      <c r="B64" s="4"/>
    </row>
    <row r="65" spans="1:2" x14ac:dyDescent="0.3">
      <c r="A65" s="364"/>
      <c r="B65" s="4"/>
    </row>
    <row r="66" spans="1:2" x14ac:dyDescent="0.3">
      <c r="A66" s="364"/>
      <c r="B66" s="4"/>
    </row>
    <row r="67" spans="1:2" x14ac:dyDescent="0.3">
      <c r="A67" s="364"/>
      <c r="B67" s="4"/>
    </row>
    <row r="68" spans="1:2" x14ac:dyDescent="0.3">
      <c r="A68" s="364"/>
      <c r="B68" s="4"/>
    </row>
    <row r="69" spans="1:2" x14ac:dyDescent="0.3">
      <c r="A69" s="364"/>
      <c r="B69" s="4"/>
    </row>
    <row r="70" spans="1:2" x14ac:dyDescent="0.3">
      <c r="A70" s="364"/>
      <c r="B70" s="4"/>
    </row>
    <row r="71" spans="1:2" x14ac:dyDescent="0.3">
      <c r="A71" s="364"/>
      <c r="B71" s="4"/>
    </row>
    <row r="72" spans="1:2" x14ac:dyDescent="0.3">
      <c r="A72" s="364"/>
      <c r="B72" s="4"/>
    </row>
    <row r="73" spans="1:2" x14ac:dyDescent="0.3">
      <c r="A73" s="364"/>
      <c r="B73" s="4"/>
    </row>
    <row r="74" spans="1:2" x14ac:dyDescent="0.3">
      <c r="A74" s="364"/>
      <c r="B74" s="4"/>
    </row>
    <row r="75" spans="1:2" x14ac:dyDescent="0.3">
      <c r="A75" s="364"/>
      <c r="B75" s="4"/>
    </row>
    <row r="76" spans="1:2" x14ac:dyDescent="0.3">
      <c r="A76" s="366"/>
      <c r="B76" s="4"/>
    </row>
    <row r="77" spans="1:2" x14ac:dyDescent="0.3">
      <c r="A77" s="364"/>
      <c r="B77" s="4"/>
    </row>
    <row r="78" spans="1:2" x14ac:dyDescent="0.3">
      <c r="A78" s="364"/>
      <c r="B78" s="4"/>
    </row>
    <row r="79" spans="1:2" x14ac:dyDescent="0.3">
      <c r="A79" s="364"/>
      <c r="B79" s="4"/>
    </row>
    <row r="80" spans="1:2" x14ac:dyDescent="0.3">
      <c r="A80" s="364"/>
      <c r="B80" s="4"/>
    </row>
    <row r="81" spans="1:4" x14ac:dyDescent="0.3">
      <c r="A81" s="364"/>
      <c r="B81" s="4"/>
    </row>
    <row r="82" spans="1:4" x14ac:dyDescent="0.3">
      <c r="A82" s="364"/>
      <c r="B82" s="4"/>
    </row>
    <row r="83" spans="1:4" x14ac:dyDescent="0.3">
      <c r="A83" s="364"/>
      <c r="B83" s="4"/>
    </row>
    <row r="84" spans="1:4" x14ac:dyDescent="0.3">
      <c r="A84" s="368"/>
      <c r="B84" s="9"/>
    </row>
    <row r="85" spans="1:4" x14ac:dyDescent="0.3">
      <c r="A85" s="364"/>
      <c r="B85" s="4"/>
    </row>
    <row r="86" spans="1:4" x14ac:dyDescent="0.3">
      <c r="A86" s="364"/>
      <c r="B86" s="4"/>
    </row>
    <row r="87" spans="1:4" x14ac:dyDescent="0.3">
      <c r="A87" s="364"/>
      <c r="B87" s="4"/>
      <c r="D87" s="27"/>
    </row>
    <row r="88" spans="1:4" x14ac:dyDescent="0.3">
      <c r="A88" s="364"/>
      <c r="B88" s="4"/>
    </row>
    <row r="89" spans="1:4" x14ac:dyDescent="0.3">
      <c r="A89" s="364"/>
      <c r="B89" s="4"/>
    </row>
    <row r="90" spans="1:4" x14ac:dyDescent="0.3">
      <c r="A90" s="364"/>
      <c r="B90" s="4"/>
    </row>
    <row r="91" spans="1:4" x14ac:dyDescent="0.3">
      <c r="A91" s="366"/>
      <c r="B91" s="4"/>
    </row>
    <row r="92" spans="1:4" x14ac:dyDescent="0.3">
      <c r="A92" s="364"/>
      <c r="B92" s="4"/>
    </row>
    <row r="93" spans="1:4" x14ac:dyDescent="0.3">
      <c r="A93" s="364"/>
      <c r="B93" s="4"/>
    </row>
    <row r="94" spans="1:4" x14ac:dyDescent="0.3">
      <c r="A94" s="364"/>
      <c r="B94" s="4"/>
    </row>
    <row r="95" spans="1:4" x14ac:dyDescent="0.3">
      <c r="A95" s="364"/>
      <c r="B95" s="4"/>
    </row>
    <row r="96" spans="1:4" x14ac:dyDescent="0.3">
      <c r="A96" s="364"/>
      <c r="B96" s="4"/>
    </row>
    <row r="97" spans="1:2" x14ac:dyDescent="0.3">
      <c r="A97" s="364"/>
      <c r="B97" s="4"/>
    </row>
    <row r="98" spans="1:2" x14ac:dyDescent="0.3">
      <c r="A98" s="364"/>
      <c r="B98" s="4"/>
    </row>
    <row r="99" spans="1:2" x14ac:dyDescent="0.3">
      <c r="A99" s="364"/>
      <c r="B99" s="4"/>
    </row>
    <row r="100" spans="1:2" x14ac:dyDescent="0.3">
      <c r="A100" s="368"/>
      <c r="B100" s="9"/>
    </row>
    <row r="101" spans="1:2" x14ac:dyDescent="0.3">
      <c r="A101" s="364"/>
      <c r="B101" s="4"/>
    </row>
    <row r="102" spans="1:2" x14ac:dyDescent="0.3">
      <c r="A102" s="364"/>
      <c r="B102" s="4"/>
    </row>
    <row r="103" spans="1:2" x14ac:dyDescent="0.3">
      <c r="A103" s="364"/>
      <c r="B103" s="4"/>
    </row>
    <row r="106" spans="1:2" x14ac:dyDescent="0.3">
      <c r="A106" s="2" t="s">
        <v>275</v>
      </c>
    </row>
    <row r="107" spans="1:2" x14ac:dyDescent="0.3">
      <c r="A107" s="291" t="s">
        <v>264</v>
      </c>
      <c r="B107" s="354">
        <v>26352</v>
      </c>
    </row>
    <row r="108" spans="1:2" x14ac:dyDescent="0.3">
      <c r="A108" s="291" t="s">
        <v>266</v>
      </c>
      <c r="B108" s="354">
        <v>63480</v>
      </c>
    </row>
    <row r="109" spans="1:2" x14ac:dyDescent="0.3">
      <c r="A109" s="291" t="s">
        <v>267</v>
      </c>
      <c r="B109" s="292">
        <v>63900</v>
      </c>
    </row>
    <row r="110" spans="1:2" x14ac:dyDescent="0.3">
      <c r="A110" s="291" t="s">
        <v>268</v>
      </c>
      <c r="B110" s="292">
        <v>64380</v>
      </c>
    </row>
    <row r="111" spans="1:2" x14ac:dyDescent="0.3">
      <c r="A111" s="291" t="s">
        <v>269</v>
      </c>
      <c r="B111" s="292">
        <v>66948</v>
      </c>
    </row>
    <row r="112" spans="1:2" x14ac:dyDescent="0.3">
      <c r="A112" s="291" t="s">
        <v>271</v>
      </c>
      <c r="B112" s="292">
        <v>69180</v>
      </c>
    </row>
    <row r="113" spans="1:2" x14ac:dyDescent="0.3">
      <c r="A113" s="291" t="s">
        <v>272</v>
      </c>
      <c r="B113" s="292">
        <v>71748</v>
      </c>
    </row>
    <row r="114" spans="1:2" x14ac:dyDescent="0.3">
      <c r="A114" s="291" t="s">
        <v>273</v>
      </c>
      <c r="B114" s="292">
        <v>74424</v>
      </c>
    </row>
    <row r="115" spans="1:2" x14ac:dyDescent="0.3">
      <c r="A115" s="291" t="s">
        <v>276</v>
      </c>
      <c r="B115" s="292">
        <v>77076</v>
      </c>
    </row>
    <row r="116" spans="1:2" x14ac:dyDescent="0.3">
      <c r="A116" s="290"/>
      <c r="B116" s="355"/>
    </row>
    <row r="122" spans="1:2" x14ac:dyDescent="0.3">
      <c r="A122" s="371"/>
      <c r="B122" s="372"/>
    </row>
    <row r="123" spans="1:2" x14ac:dyDescent="0.3">
      <c r="A123" s="371"/>
      <c r="B123" s="372"/>
    </row>
    <row r="124" spans="1:2" x14ac:dyDescent="0.3">
      <c r="A124" s="371"/>
      <c r="B124" s="372"/>
    </row>
    <row r="125" spans="1:2" x14ac:dyDescent="0.3">
      <c r="A125" s="371"/>
      <c r="B125" s="372"/>
    </row>
    <row r="126" spans="1:2" x14ac:dyDescent="0.3">
      <c r="A126" s="371"/>
      <c r="B126" s="372"/>
    </row>
    <row r="127" spans="1:2" x14ac:dyDescent="0.3">
      <c r="A127" s="371"/>
      <c r="B127" s="372"/>
    </row>
    <row r="128" spans="1:2" x14ac:dyDescent="0.3">
      <c r="A128" s="371"/>
      <c r="B128" s="372"/>
    </row>
    <row r="129" spans="1:2" x14ac:dyDescent="0.3">
      <c r="A129" s="371"/>
      <c r="B129" s="372"/>
    </row>
    <row r="130" spans="1:2" x14ac:dyDescent="0.3">
      <c r="A130" s="371"/>
      <c r="B130" s="372"/>
    </row>
    <row r="131" spans="1:2" x14ac:dyDescent="0.3">
      <c r="A131" s="371"/>
      <c r="B131" s="372"/>
    </row>
    <row r="132" spans="1:2" x14ac:dyDescent="0.3">
      <c r="A132" s="371"/>
      <c r="B132" s="372"/>
    </row>
    <row r="133" spans="1:2" x14ac:dyDescent="0.3">
      <c r="A133" s="371"/>
      <c r="B133" s="372"/>
    </row>
    <row r="134" spans="1:2" x14ac:dyDescent="0.3">
      <c r="A134" s="371"/>
      <c r="B134" s="372"/>
    </row>
    <row r="135" spans="1:2" x14ac:dyDescent="0.3">
      <c r="A135" s="371"/>
      <c r="B135" s="372"/>
    </row>
    <row r="136" spans="1:2" x14ac:dyDescent="0.3">
      <c r="A136" s="371"/>
      <c r="B136" s="372"/>
    </row>
    <row r="137" spans="1:2" x14ac:dyDescent="0.3">
      <c r="A137" s="371"/>
      <c r="B137" s="372"/>
    </row>
    <row r="138" spans="1:2" x14ac:dyDescent="0.3">
      <c r="A138" s="371"/>
      <c r="B138" s="372"/>
    </row>
    <row r="139" spans="1:2" x14ac:dyDescent="0.3">
      <c r="A139" s="371"/>
      <c r="B139" s="372"/>
    </row>
    <row r="140" spans="1:2" x14ac:dyDescent="0.3">
      <c r="A140" s="371"/>
      <c r="B140" s="372"/>
    </row>
    <row r="141" spans="1:2" x14ac:dyDescent="0.3">
      <c r="A141" s="371"/>
      <c r="B141" s="372"/>
    </row>
    <row r="142" spans="1:2" x14ac:dyDescent="0.3">
      <c r="A142" s="371"/>
      <c r="B142" s="372"/>
    </row>
    <row r="143" spans="1:2" x14ac:dyDescent="0.3">
      <c r="A143" s="371"/>
      <c r="B143" s="372"/>
    </row>
    <row r="144" spans="1:2" x14ac:dyDescent="0.3">
      <c r="A144" s="371"/>
      <c r="B144" s="372"/>
    </row>
    <row r="145" spans="1:2" x14ac:dyDescent="0.3">
      <c r="A145" s="371"/>
      <c r="B145" s="372"/>
    </row>
    <row r="146" spans="1:2" x14ac:dyDescent="0.3">
      <c r="A146" s="371"/>
      <c r="B146" s="372"/>
    </row>
    <row r="147" spans="1:2" x14ac:dyDescent="0.3">
      <c r="A147" s="371"/>
      <c r="B147" s="372"/>
    </row>
    <row r="148" spans="1:2" x14ac:dyDescent="0.3">
      <c r="A148" s="371"/>
      <c r="B148" s="372"/>
    </row>
    <row r="149" spans="1:2" x14ac:dyDescent="0.3">
      <c r="A149" s="371"/>
      <c r="B149" s="372"/>
    </row>
    <row r="150" spans="1:2" x14ac:dyDescent="0.3">
      <c r="A150" s="371"/>
      <c r="B150" s="372"/>
    </row>
    <row r="151" spans="1:2" x14ac:dyDescent="0.3">
      <c r="A151" s="371"/>
      <c r="B151" s="372"/>
    </row>
  </sheetData>
  <mergeCells count="4">
    <mergeCell ref="G29:H29"/>
    <mergeCell ref="G30:H30"/>
    <mergeCell ref="G26:H26"/>
    <mergeCell ref="G27:H27"/>
  </mergeCells>
  <pageMargins left="0.7" right="0.7" top="0.75" bottom="0.75" header="0.3" footer="0.3"/>
  <pageSetup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2"/>
  <sheetViews>
    <sheetView topLeftCell="A19" zoomScaleNormal="100" workbookViewId="0">
      <selection activeCell="H17" sqref="H17"/>
    </sheetView>
  </sheetViews>
  <sheetFormatPr defaultColWidth="8.6640625" defaultRowHeight="14.4" x14ac:dyDescent="0.3"/>
  <cols>
    <col min="1" max="1" width="41" bestFit="1" customWidth="1"/>
    <col min="2" max="6" width="10.6640625" customWidth="1"/>
    <col min="7" max="7" width="15.33203125" bestFit="1" customWidth="1"/>
  </cols>
  <sheetData>
    <row r="1" spans="1:7" ht="15.6" customHeight="1" x14ac:dyDescent="0.3">
      <c r="A1" s="241" t="s">
        <v>277</v>
      </c>
      <c r="B1" s="437"/>
      <c r="C1" s="397"/>
      <c r="D1" s="327"/>
      <c r="E1" s="327"/>
      <c r="F1" s="327"/>
      <c r="G1" s="242"/>
    </row>
    <row r="2" spans="1:7" ht="15.6" customHeight="1" x14ac:dyDescent="0.3">
      <c r="A2" s="243" t="s">
        <v>40</v>
      </c>
      <c r="B2" s="244"/>
      <c r="C2" s="245"/>
      <c r="D2" s="245"/>
      <c r="E2" s="245"/>
      <c r="F2" s="245"/>
      <c r="G2" s="242"/>
    </row>
    <row r="3" spans="1:7" ht="15.6" customHeight="1" x14ac:dyDescent="0.3">
      <c r="A3" s="246"/>
      <c r="B3" s="247" t="s">
        <v>45</v>
      </c>
      <c r="C3" s="247" t="s">
        <v>46</v>
      </c>
      <c r="D3" s="247" t="s">
        <v>47</v>
      </c>
      <c r="E3" s="247" t="s">
        <v>48</v>
      </c>
      <c r="F3" s="247" t="s">
        <v>49</v>
      </c>
      <c r="G3" s="247" t="s">
        <v>278</v>
      </c>
    </row>
    <row r="4" spans="1:7" ht="15.6" customHeight="1" x14ac:dyDescent="0.3">
      <c r="A4" s="248" t="s">
        <v>279</v>
      </c>
      <c r="B4" s="210">
        <f>'Sponsor Cost'!B45-Subcontracts!D37</f>
        <v>0</v>
      </c>
      <c r="C4" s="210">
        <f>'Sponsor Cost'!C45-Subcontracts!E37</f>
        <v>0</v>
      </c>
      <c r="D4" s="210">
        <f>'Sponsor Cost'!D45-Subcontracts!F37</f>
        <v>0</v>
      </c>
      <c r="E4" s="210">
        <f>'Sponsor Cost'!E45-Subcontracts!G37</f>
        <v>0</v>
      </c>
      <c r="F4" s="210">
        <f>'Sponsor Cost'!F45-Subcontracts!H37</f>
        <v>0</v>
      </c>
      <c r="G4" s="210">
        <f>SUM(B4:F4)</f>
        <v>0</v>
      </c>
    </row>
    <row r="5" spans="1:7" ht="15.6" customHeight="1" x14ac:dyDescent="0.3">
      <c r="A5" s="248" t="s">
        <v>280</v>
      </c>
      <c r="B5" s="249">
        <f>IF(B15&lt;B4,B15+25000,B15)</f>
        <v>0</v>
      </c>
      <c r="C5" s="249">
        <f>IF(C15&lt;C4,C15+25000,C15)</f>
        <v>0</v>
      </c>
      <c r="D5" s="249">
        <f>IF(D15&lt;D4,D15+25000,D15)</f>
        <v>0</v>
      </c>
      <c r="E5" s="249">
        <f>IF(E15&lt;E4,E15+25000,E15)</f>
        <v>0</v>
      </c>
      <c r="F5" s="249">
        <f>IF(F15&lt;F4,F15+25000,F15)</f>
        <v>0</v>
      </c>
      <c r="G5" s="210">
        <f>SUM(B5:F5)</f>
        <v>0</v>
      </c>
    </row>
    <row r="6" spans="1:7" ht="15.6" customHeight="1" x14ac:dyDescent="0.3">
      <c r="A6" s="248" t="s">
        <v>281</v>
      </c>
      <c r="B6" s="210">
        <f>Subcontracts!D37</f>
        <v>0</v>
      </c>
      <c r="C6" s="210">
        <f>Subcontracts!E37</f>
        <v>0</v>
      </c>
      <c r="D6" s="210">
        <f>Subcontracts!F37</f>
        <v>0</v>
      </c>
      <c r="E6" s="210">
        <f>Subcontracts!G37</f>
        <v>0</v>
      </c>
      <c r="F6" s="210">
        <f>Subcontracts!H37</f>
        <v>0</v>
      </c>
      <c r="G6" s="210">
        <f>SUM(B6:F6)</f>
        <v>0</v>
      </c>
    </row>
    <row r="7" spans="1:7" ht="16.2" customHeight="1" thickBot="1" x14ac:dyDescent="0.35">
      <c r="A7" s="250" t="s">
        <v>75</v>
      </c>
      <c r="B7" s="211">
        <f t="shared" ref="B7:G7" si="0">B6+B5</f>
        <v>0</v>
      </c>
      <c r="C7" s="211">
        <f t="shared" si="0"/>
        <v>0</v>
      </c>
      <c r="D7" s="211">
        <f t="shared" si="0"/>
        <v>0</v>
      </c>
      <c r="E7" s="211">
        <f t="shared" si="0"/>
        <v>0</v>
      </c>
      <c r="F7" s="211">
        <f t="shared" si="0"/>
        <v>0</v>
      </c>
      <c r="G7" s="211">
        <f t="shared" si="0"/>
        <v>0</v>
      </c>
    </row>
    <row r="8" spans="1:7" ht="16.2" customHeight="1" thickTop="1" x14ac:dyDescent="0.3">
      <c r="A8" s="251" t="s">
        <v>282</v>
      </c>
      <c r="B8" s="212">
        <f>'Sponsor Cost'!B46</f>
        <v>0</v>
      </c>
      <c r="C8" s="212">
        <f>'Sponsor Cost'!C46</f>
        <v>0</v>
      </c>
      <c r="D8" s="212">
        <f>'Sponsor Cost'!D46</f>
        <v>0</v>
      </c>
      <c r="E8" s="212">
        <f>'Sponsor Cost'!E46</f>
        <v>0</v>
      </c>
      <c r="F8" s="212">
        <f>'Sponsor Cost'!F46</f>
        <v>0</v>
      </c>
      <c r="G8" s="210">
        <f>SUM(B8:F8)</f>
        <v>0</v>
      </c>
    </row>
    <row r="9" spans="1:7" ht="15.6" customHeight="1" x14ac:dyDescent="0.3">
      <c r="A9" s="248" t="s">
        <v>283</v>
      </c>
      <c r="B9" s="210">
        <f ca="1">'Sponsor Cost'!B47</f>
        <v>0</v>
      </c>
      <c r="C9" s="210">
        <f ca="1">'Sponsor Cost'!C47</f>
        <v>0</v>
      </c>
      <c r="D9" s="210">
        <f ca="1">'Sponsor Cost'!D47</f>
        <v>0</v>
      </c>
      <c r="E9" s="210">
        <f ca="1">'Sponsor Cost'!E47</f>
        <v>0</v>
      </c>
      <c r="F9" s="210">
        <f ca="1">'Sponsor Cost'!F47</f>
        <v>0</v>
      </c>
      <c r="G9" s="210">
        <f ca="1">SUM(B9:F9)</f>
        <v>0</v>
      </c>
    </row>
    <row r="10" spans="1:7" ht="16.2" customHeight="1" thickBot="1" x14ac:dyDescent="0.35">
      <c r="A10" s="250" t="s">
        <v>284</v>
      </c>
      <c r="B10" s="213">
        <f ca="1">B7+B9</f>
        <v>0</v>
      </c>
      <c r="C10" s="213">
        <f ca="1">C9+C7</f>
        <v>0</v>
      </c>
      <c r="D10" s="213">
        <f ca="1">D9+D7</f>
        <v>0</v>
      </c>
      <c r="E10" s="213">
        <f ca="1">E9+E7</f>
        <v>0</v>
      </c>
      <c r="F10" s="213">
        <f ca="1">F9+F7</f>
        <v>0</v>
      </c>
      <c r="G10" s="213">
        <f ca="1">G9+G7</f>
        <v>0</v>
      </c>
    </row>
    <row r="11" spans="1:7" ht="16.2" customHeight="1" thickTop="1" x14ac:dyDescent="0.3">
      <c r="A11" s="252"/>
      <c r="B11" s="252"/>
      <c r="C11" s="252"/>
      <c r="D11" s="252"/>
      <c r="E11" s="252"/>
      <c r="F11" s="252"/>
      <c r="G11" s="243"/>
    </row>
    <row r="12" spans="1:7" ht="15.6" customHeight="1" x14ac:dyDescent="0.3">
      <c r="A12" s="252"/>
      <c r="B12" s="252"/>
      <c r="C12" s="252"/>
      <c r="D12" s="252"/>
      <c r="E12" s="252"/>
      <c r="F12" s="252"/>
      <c r="G12" s="243"/>
    </row>
    <row r="13" spans="1:7" ht="15.6" customHeight="1" x14ac:dyDescent="0.3">
      <c r="A13" s="250" t="s">
        <v>114</v>
      </c>
      <c r="B13" s="214">
        <f ca="1">'Sponsor Cost'!B54</f>
        <v>0.5</v>
      </c>
      <c r="C13" s="252"/>
      <c r="D13" s="252"/>
      <c r="E13" s="252"/>
      <c r="F13" s="252"/>
      <c r="G13" s="243"/>
    </row>
    <row r="15" spans="1:7" ht="15.6" customHeight="1" x14ac:dyDescent="0.3">
      <c r="B15" s="210">
        <f>ROUND(B4/25000,0)*25000</f>
        <v>0</v>
      </c>
      <c r="C15" s="210">
        <f>ROUND(C4/25000,0)*25000</f>
        <v>0</v>
      </c>
      <c r="D15" s="210">
        <f>ROUND(D4/25000,0)*25000</f>
        <v>0</v>
      </c>
      <c r="E15" s="210">
        <f>ROUND(E4/25000,0)*25000</f>
        <v>0</v>
      </c>
      <c r="F15" s="210">
        <f>ROUND(F4/25000,0)*25000</f>
        <v>0</v>
      </c>
    </row>
    <row r="17" spans="1:6" ht="18" customHeight="1" x14ac:dyDescent="0.35">
      <c r="A17" s="65" t="s">
        <v>285</v>
      </c>
    </row>
    <row r="18" spans="1:6" x14ac:dyDescent="0.3">
      <c r="B18" s="21" t="s">
        <v>286</v>
      </c>
      <c r="C18" s="21" t="s">
        <v>287</v>
      </c>
      <c r="D18" s="21" t="s">
        <v>288</v>
      </c>
      <c r="E18" s="21" t="s">
        <v>289</v>
      </c>
      <c r="F18" s="21" t="s">
        <v>290</v>
      </c>
    </row>
    <row r="19" spans="1:6" x14ac:dyDescent="0.3">
      <c r="A19" t="s">
        <v>291</v>
      </c>
      <c r="B19" s="253">
        <f>'Sponsor Cost'!B10</f>
        <v>0</v>
      </c>
      <c r="C19" s="253">
        <f>'Sponsor Cost'!C10</f>
        <v>366</v>
      </c>
      <c r="D19" s="253">
        <f>'Sponsor Cost'!D10</f>
        <v>731</v>
      </c>
      <c r="E19" s="253">
        <f>'Sponsor Cost'!E10</f>
        <v>1096</v>
      </c>
      <c r="F19" s="253">
        <f>'Sponsor Cost'!F10</f>
        <v>1461</v>
      </c>
    </row>
    <row r="20" spans="1:6" x14ac:dyDescent="0.3">
      <c r="A20" t="s">
        <v>292</v>
      </c>
      <c r="B20" s="253">
        <f>'Sponsor Cost'!B11</f>
        <v>365</v>
      </c>
      <c r="C20" s="253">
        <f>'Sponsor Cost'!C11</f>
        <v>730</v>
      </c>
      <c r="D20" s="253">
        <f>'Sponsor Cost'!D11</f>
        <v>1095</v>
      </c>
      <c r="E20" s="253">
        <f>'Sponsor Cost'!E11</f>
        <v>1460</v>
      </c>
      <c r="F20" s="253">
        <f>'Sponsor Cost'!F11</f>
        <v>1826</v>
      </c>
    </row>
    <row r="21" spans="1:6" x14ac:dyDescent="0.3">
      <c r="B21" s="254"/>
      <c r="C21" s="254"/>
      <c r="D21" s="254"/>
      <c r="E21" s="254"/>
      <c r="F21" s="254"/>
    </row>
    <row r="22" spans="1:6" x14ac:dyDescent="0.3">
      <c r="A22" s="2" t="s">
        <v>293</v>
      </c>
    </row>
    <row r="23" spans="1:6" x14ac:dyDescent="0.3">
      <c r="A23" t="s">
        <v>294</v>
      </c>
      <c r="B23" s="48">
        <f t="shared" ref="B23:F25" si="1">B5</f>
        <v>0</v>
      </c>
      <c r="C23" s="48">
        <f t="shared" si="1"/>
        <v>0</v>
      </c>
      <c r="D23" s="48">
        <f t="shared" si="1"/>
        <v>0</v>
      </c>
      <c r="E23" s="48">
        <f t="shared" si="1"/>
        <v>0</v>
      </c>
      <c r="F23" s="48">
        <f t="shared" si="1"/>
        <v>0</v>
      </c>
    </row>
    <row r="24" spans="1:6" x14ac:dyDescent="0.3">
      <c r="A24" t="s">
        <v>281</v>
      </c>
      <c r="B24" s="48">
        <f t="shared" si="1"/>
        <v>0</v>
      </c>
      <c r="C24" s="48">
        <f t="shared" si="1"/>
        <v>0</v>
      </c>
      <c r="D24" s="48">
        <f t="shared" si="1"/>
        <v>0</v>
      </c>
      <c r="E24" s="48">
        <f t="shared" si="1"/>
        <v>0</v>
      </c>
      <c r="F24" s="48">
        <f t="shared" si="1"/>
        <v>0</v>
      </c>
    </row>
    <row r="25" spans="1:6" x14ac:dyDescent="0.3">
      <c r="A25" t="s">
        <v>284</v>
      </c>
      <c r="B25" s="48">
        <f t="shared" si="1"/>
        <v>0</v>
      </c>
      <c r="C25" s="48">
        <f t="shared" si="1"/>
        <v>0</v>
      </c>
      <c r="D25" s="48">
        <f t="shared" si="1"/>
        <v>0</v>
      </c>
      <c r="E25" s="48">
        <f t="shared" si="1"/>
        <v>0</v>
      </c>
      <c r="F25" s="48">
        <f t="shared" si="1"/>
        <v>0</v>
      </c>
    </row>
    <row r="26" spans="1:6" x14ac:dyDescent="0.3">
      <c r="B26" s="49"/>
      <c r="C26" s="49"/>
      <c r="D26" s="49"/>
      <c r="E26" s="49"/>
      <c r="F26" s="49"/>
    </row>
    <row r="27" spans="1:6" x14ac:dyDescent="0.3">
      <c r="A27" s="2" t="s">
        <v>295</v>
      </c>
    </row>
    <row r="28" spans="1:6" x14ac:dyDescent="0.3">
      <c r="A28" t="s">
        <v>296</v>
      </c>
      <c r="B28" s="145" t="str">
        <f>'Sponsor Cost'!$A$46</f>
        <v>MTDC</v>
      </c>
    </row>
    <row r="29" spans="1:6" x14ac:dyDescent="0.3">
      <c r="A29" t="s">
        <v>297</v>
      </c>
      <c r="B29" s="255">
        <f ca="1">'Sponsor Cost'!$B$54</f>
        <v>0.5</v>
      </c>
      <c r="C29" s="256"/>
      <c r="D29" s="256"/>
      <c r="E29" s="256"/>
      <c r="F29" s="256"/>
    </row>
    <row r="30" spans="1:6" x14ac:dyDescent="0.3">
      <c r="A30" t="s">
        <v>298</v>
      </c>
      <c r="B30" s="215">
        <f>'Sponsor Cost'!B46</f>
        <v>0</v>
      </c>
      <c r="C30" s="215">
        <f>'Sponsor Cost'!C46</f>
        <v>0</v>
      </c>
      <c r="D30" s="215">
        <f>'Sponsor Cost'!D46</f>
        <v>0</v>
      </c>
      <c r="E30" s="215">
        <f>'Sponsor Cost'!E46</f>
        <v>0</v>
      </c>
      <c r="F30" s="215">
        <f>'Sponsor Cost'!F46</f>
        <v>0</v>
      </c>
    </row>
    <row r="31" spans="1:6" x14ac:dyDescent="0.3">
      <c r="A31" t="s">
        <v>284</v>
      </c>
      <c r="B31" s="215">
        <f ca="1">'Sponsor Cost'!B47</f>
        <v>0</v>
      </c>
      <c r="C31" s="215">
        <f ca="1">'Sponsor Cost'!C47</f>
        <v>0</v>
      </c>
      <c r="D31" s="215">
        <f ca="1">'Sponsor Cost'!D47</f>
        <v>0</v>
      </c>
      <c r="E31" s="215">
        <f ca="1">'Sponsor Cost'!E47</f>
        <v>0</v>
      </c>
      <c r="F31" s="215">
        <f ca="1">'Sponsor Cost'!F47</f>
        <v>0</v>
      </c>
    </row>
    <row r="33" spans="1:6" x14ac:dyDescent="0.3">
      <c r="A33" s="2" t="s">
        <v>299</v>
      </c>
    </row>
    <row r="34" spans="1:6" x14ac:dyDescent="0.3">
      <c r="A34" t="s">
        <v>300</v>
      </c>
      <c r="B34" s="48">
        <f ca="1">B25+B31</f>
        <v>0</v>
      </c>
      <c r="C34" s="48">
        <f ca="1">C31+C25</f>
        <v>0</v>
      </c>
      <c r="D34" s="48">
        <f ca="1">D31+D25</f>
        <v>0</v>
      </c>
      <c r="E34" s="48">
        <f ca="1">E31+E25</f>
        <v>0</v>
      </c>
      <c r="F34" s="48">
        <f ca="1">F31+F25</f>
        <v>0</v>
      </c>
    </row>
    <row r="36" spans="1:6" x14ac:dyDescent="0.3">
      <c r="A36" s="2" t="s">
        <v>301</v>
      </c>
    </row>
    <row r="37" spans="1:6" x14ac:dyDescent="0.3">
      <c r="A37" s="2" t="s">
        <v>302</v>
      </c>
    </row>
    <row r="38" spans="1:6" x14ac:dyDescent="0.3">
      <c r="A38" s="257" t="s">
        <v>303</v>
      </c>
      <c r="B38" s="258">
        <f>SUM(B23:F23)</f>
        <v>0</v>
      </c>
    </row>
    <row r="39" spans="1:6" x14ac:dyDescent="0.3">
      <c r="A39" s="257" t="s">
        <v>304</v>
      </c>
      <c r="B39" s="258">
        <f>SUM(B24:F24)</f>
        <v>0</v>
      </c>
    </row>
    <row r="40" spans="1:6" x14ac:dyDescent="0.3">
      <c r="A40" s="257" t="s">
        <v>305</v>
      </c>
      <c r="B40" s="258">
        <f>SUM(B25:F25)</f>
        <v>0</v>
      </c>
    </row>
    <row r="41" spans="1:6" x14ac:dyDescent="0.3">
      <c r="A41" s="257" t="s">
        <v>306</v>
      </c>
      <c r="B41" s="258">
        <f ca="1">SUM(B31:F31)</f>
        <v>0</v>
      </c>
    </row>
    <row r="42" spans="1:6" x14ac:dyDescent="0.3">
      <c r="A42" s="257" t="s">
        <v>307</v>
      </c>
      <c r="B42" s="258">
        <f ca="1">SUM(B34:F34)</f>
        <v>0</v>
      </c>
    </row>
  </sheetData>
  <mergeCells count="1">
    <mergeCell ref="B1:C1"/>
  </mergeCells>
  <pageMargins left="0.7" right="0.7" top="0.75" bottom="0.75" header="0.3" footer="0.3"/>
  <pageSetup orientation="portrait"/>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29"/>
  <sheetViews>
    <sheetView workbookViewId="0">
      <selection activeCell="B24" sqref="B24"/>
    </sheetView>
  </sheetViews>
  <sheetFormatPr defaultColWidth="8.6640625" defaultRowHeight="14.4" x14ac:dyDescent="0.3"/>
  <cols>
    <col min="1" max="1" width="41" bestFit="1" customWidth="1"/>
    <col min="2" max="6" width="15.6640625" customWidth="1"/>
    <col min="7" max="7" width="15.33203125" bestFit="1" customWidth="1"/>
    <col min="9" max="9" width="10.109375" bestFit="1" customWidth="1"/>
  </cols>
  <sheetData>
    <row r="1" spans="1:9" ht="15.6" customHeight="1" x14ac:dyDescent="0.3">
      <c r="A1" s="241" t="s">
        <v>277</v>
      </c>
      <c r="B1" s="296">
        <f>'Sponsor Cost'!B3</f>
        <v>0</v>
      </c>
      <c r="C1" s="295"/>
      <c r="D1" s="327"/>
      <c r="E1" s="327"/>
      <c r="F1" s="327"/>
      <c r="G1" s="242"/>
    </row>
    <row r="2" spans="1:9" ht="15.6" customHeight="1" x14ac:dyDescent="0.3">
      <c r="A2" s="243" t="s">
        <v>40</v>
      </c>
      <c r="B2" s="244">
        <f>'Sponsor Cost'!C6</f>
        <v>0</v>
      </c>
      <c r="C2" s="245" t="s">
        <v>308</v>
      </c>
      <c r="D2" s="245">
        <f>'Sponsor Cost'!E6</f>
        <v>0</v>
      </c>
      <c r="E2" s="245"/>
      <c r="F2" s="245"/>
      <c r="G2" s="242"/>
    </row>
    <row r="3" spans="1:9" ht="15.6" customHeight="1" x14ac:dyDescent="0.3">
      <c r="A3" s="246"/>
      <c r="B3" s="247" t="s">
        <v>45</v>
      </c>
      <c r="C3" s="247" t="s">
        <v>46</v>
      </c>
      <c r="D3" s="247" t="s">
        <v>47</v>
      </c>
      <c r="E3" s="247" t="s">
        <v>48</v>
      </c>
      <c r="F3" s="247" t="s">
        <v>49</v>
      </c>
      <c r="G3" s="247" t="s">
        <v>278</v>
      </c>
    </row>
    <row r="4" spans="1:9" ht="15.6" customHeight="1" x14ac:dyDescent="0.3">
      <c r="A4" s="248" t="s">
        <v>75</v>
      </c>
      <c r="B4" s="310">
        <f>'Sponsor Cost'!B45</f>
        <v>0</v>
      </c>
      <c r="C4" s="310">
        <f>'Sponsor Cost'!C45</f>
        <v>0</v>
      </c>
      <c r="D4" s="310">
        <f>'Sponsor Cost'!D45</f>
        <v>0</v>
      </c>
      <c r="E4" s="310">
        <f>'Sponsor Cost'!E45</f>
        <v>0</v>
      </c>
      <c r="F4" s="310">
        <f>'Sponsor Cost'!F45</f>
        <v>0</v>
      </c>
      <c r="G4" s="319">
        <f>SUM(B4:F4)</f>
        <v>0</v>
      </c>
    </row>
    <row r="5" spans="1:9" ht="15.6" customHeight="1" x14ac:dyDescent="0.3">
      <c r="A5" s="248" t="s">
        <v>309</v>
      </c>
      <c r="B5" s="320">
        <f>'Sponsor Cost'!B45-'Sponsor Cost'!B43-'Sponsor Cost'!B35</f>
        <v>0</v>
      </c>
      <c r="C5" s="320">
        <f>'Sponsor Cost'!C45-'Sponsor Cost'!C43-'Sponsor Cost'!C35</f>
        <v>0</v>
      </c>
      <c r="D5" s="320">
        <f>'Sponsor Cost'!D45-'Sponsor Cost'!D43-'Sponsor Cost'!D35</f>
        <v>0</v>
      </c>
      <c r="E5" s="320">
        <f>'Sponsor Cost'!E45-'Sponsor Cost'!E43-'Sponsor Cost'!E35</f>
        <v>0</v>
      </c>
      <c r="F5" s="320">
        <f>'Sponsor Cost'!F45-'Sponsor Cost'!F43-'Sponsor Cost'!F35</f>
        <v>0</v>
      </c>
      <c r="G5" s="319">
        <f>SUM(B5:F5)</f>
        <v>0</v>
      </c>
    </row>
    <row r="6" spans="1:9" ht="15.6" customHeight="1" x14ac:dyDescent="0.3">
      <c r="A6" s="248" t="s">
        <v>310</v>
      </c>
      <c r="B6" s="310">
        <f>'Sponsor Cost'!B43+'Sponsor Cost'!B35</f>
        <v>0</v>
      </c>
      <c r="C6" s="310">
        <f>'Sponsor Cost'!C43+'Sponsor Cost'!C35</f>
        <v>0</v>
      </c>
      <c r="D6" s="310">
        <f>'Sponsor Cost'!D43+'Sponsor Cost'!D35</f>
        <v>0</v>
      </c>
      <c r="E6" s="310">
        <f>'Sponsor Cost'!E43+'Sponsor Cost'!E35</f>
        <v>0</v>
      </c>
      <c r="F6" s="310">
        <f>'Sponsor Cost'!F43+'Sponsor Cost'!F35</f>
        <v>0</v>
      </c>
      <c r="G6" s="319">
        <f>SUM(B6:F6)</f>
        <v>0</v>
      </c>
    </row>
    <row r="7" spans="1:9" ht="16.2" customHeight="1" thickBot="1" x14ac:dyDescent="0.35">
      <c r="A7" s="250" t="s">
        <v>75</v>
      </c>
      <c r="B7" s="313">
        <f t="shared" ref="B7:G7" si="0">B6+B5</f>
        <v>0</v>
      </c>
      <c r="C7" s="313">
        <f t="shared" si="0"/>
        <v>0</v>
      </c>
      <c r="D7" s="313">
        <f t="shared" si="0"/>
        <v>0</v>
      </c>
      <c r="E7" s="313">
        <f t="shared" si="0"/>
        <v>0</v>
      </c>
      <c r="F7" s="313">
        <f t="shared" si="0"/>
        <v>0</v>
      </c>
      <c r="G7" s="313">
        <f t="shared" si="0"/>
        <v>0</v>
      </c>
    </row>
    <row r="8" spans="1:9" ht="16.2" customHeight="1" thickTop="1" x14ac:dyDescent="0.3">
      <c r="A8" s="251" t="s">
        <v>311</v>
      </c>
      <c r="B8" s="310">
        <f>B5*$C$14</f>
        <v>0</v>
      </c>
      <c r="C8" s="310">
        <f>C5*$C$14</f>
        <v>0</v>
      </c>
      <c r="D8" s="310">
        <f>D5*$C$14</f>
        <v>0</v>
      </c>
      <c r="E8" s="310">
        <f>E5*$C$14</f>
        <v>0</v>
      </c>
      <c r="F8" s="310">
        <f>F5*$C$14</f>
        <v>0</v>
      </c>
      <c r="G8" s="319">
        <f>SUM(B8:F8)</f>
        <v>0</v>
      </c>
    </row>
    <row r="9" spans="1:9" ht="15.6" customHeight="1" x14ac:dyDescent="0.3">
      <c r="A9" s="251" t="s">
        <v>312</v>
      </c>
      <c r="B9" s="310">
        <f>IF(B6&gt;(B5*0.33),B6*$E$14,B6*C14)</f>
        <v>0</v>
      </c>
      <c r="C9" s="310">
        <f>C6*$E$14</f>
        <v>0</v>
      </c>
      <c r="D9" s="310">
        <f>D6*$E$14</f>
        <v>0</v>
      </c>
      <c r="E9" s="310">
        <f>E6*$E$14</f>
        <v>0</v>
      </c>
      <c r="F9" s="310">
        <f>F6*$E$14</f>
        <v>0</v>
      </c>
      <c r="G9" s="319">
        <f>SUM(B9:F9)</f>
        <v>0</v>
      </c>
    </row>
    <row r="10" spans="1:9" ht="15.6" customHeight="1" x14ac:dyDescent="0.3">
      <c r="A10" s="246" t="s">
        <v>283</v>
      </c>
      <c r="B10" s="321">
        <f>B9+B8</f>
        <v>0</v>
      </c>
      <c r="C10" s="321">
        <f>C9+C8</f>
        <v>0</v>
      </c>
      <c r="D10" s="321">
        <f>D9+D8</f>
        <v>0</v>
      </c>
      <c r="E10" s="321">
        <f>E9+E8</f>
        <v>0</v>
      </c>
      <c r="F10" s="321">
        <f>F9+F8</f>
        <v>0</v>
      </c>
      <c r="G10" s="321">
        <f>SUM(B10:F10)</f>
        <v>0</v>
      </c>
      <c r="I10" s="27"/>
    </row>
    <row r="11" spans="1:9" ht="16.2" customHeight="1" thickBot="1" x14ac:dyDescent="0.35">
      <c r="A11" s="250" t="s">
        <v>284</v>
      </c>
      <c r="B11" s="317">
        <f>B7+B10</f>
        <v>0</v>
      </c>
      <c r="C11" s="317">
        <f>C10+C7</f>
        <v>0</v>
      </c>
      <c r="D11" s="317">
        <f>D10+D7</f>
        <v>0</v>
      </c>
      <c r="E11" s="317">
        <f>E10+E7</f>
        <v>0</v>
      </c>
      <c r="F11" s="317">
        <f>F10+F7</f>
        <v>0</v>
      </c>
      <c r="G11" s="317">
        <f>G10+G7</f>
        <v>0</v>
      </c>
    </row>
    <row r="12" spans="1:9" ht="16.2" customHeight="1" thickTop="1" x14ac:dyDescent="0.3">
      <c r="A12" s="252"/>
      <c r="B12" s="252"/>
      <c r="C12" s="252"/>
      <c r="D12" s="252"/>
      <c r="E12" s="252"/>
      <c r="F12" s="252"/>
      <c r="G12" s="243"/>
    </row>
    <row r="13" spans="1:9" ht="15.6" customHeight="1" x14ac:dyDescent="0.3">
      <c r="A13" s="252"/>
      <c r="B13" s="252"/>
      <c r="C13" s="252"/>
      <c r="D13" s="252"/>
      <c r="E13" s="252"/>
      <c r="F13" s="252"/>
      <c r="G13" s="243"/>
    </row>
    <row r="14" spans="1:9" ht="15.6" customHeight="1" x14ac:dyDescent="0.3">
      <c r="A14" s="250" t="s">
        <v>313</v>
      </c>
      <c r="B14" s="297" t="s">
        <v>314</v>
      </c>
      <c r="C14" s="299">
        <v>0.12</v>
      </c>
      <c r="D14" s="298" t="s">
        <v>315</v>
      </c>
      <c r="E14" s="299">
        <v>0.05</v>
      </c>
      <c r="F14" s="252"/>
      <c r="G14" s="243"/>
    </row>
    <row r="16" spans="1:9" x14ac:dyDescent="0.3">
      <c r="A16" t="s">
        <v>316</v>
      </c>
      <c r="B16" s="113" t="s">
        <v>317</v>
      </c>
    </row>
    <row r="21" spans="1:6" ht="18" customHeight="1" x14ac:dyDescent="0.35">
      <c r="A21" s="304" t="s">
        <v>318</v>
      </c>
      <c r="B21" s="305" t="s">
        <v>319</v>
      </c>
      <c r="C21" s="305" t="s">
        <v>320</v>
      </c>
      <c r="D21" s="305" t="s">
        <v>321</v>
      </c>
      <c r="E21" s="307" t="s">
        <v>322</v>
      </c>
      <c r="F21" s="300"/>
    </row>
    <row r="22" spans="1:6" ht="15.6" customHeight="1" x14ac:dyDescent="0.3">
      <c r="A22" s="248" t="s">
        <v>309</v>
      </c>
      <c r="B22" s="309">
        <v>0</v>
      </c>
      <c r="C22" s="309">
        <v>0</v>
      </c>
      <c r="D22" s="310">
        <f>IF(C23&lt;&gt;0,(C28/(1+C14))*-1,0)</f>
        <v>0</v>
      </c>
      <c r="E22" s="311">
        <f>B22+C22+D22</f>
        <v>0</v>
      </c>
      <c r="F22" s="301"/>
    </row>
    <row r="23" spans="1:6" ht="15.6" customHeight="1" x14ac:dyDescent="0.3">
      <c r="A23" s="248" t="s">
        <v>310</v>
      </c>
      <c r="B23" s="312">
        <v>0</v>
      </c>
      <c r="C23" s="312">
        <v>0</v>
      </c>
      <c r="D23" s="310">
        <f>IF(C22&lt;&gt;0,(C28/(1+E14))*-1,0)</f>
        <v>0</v>
      </c>
      <c r="E23" s="311">
        <f>B23+C23+D23</f>
        <v>0</v>
      </c>
      <c r="F23" s="302"/>
    </row>
    <row r="24" spans="1:6" ht="16.2" customHeight="1" thickBot="1" x14ac:dyDescent="0.35">
      <c r="A24" s="250" t="s">
        <v>75</v>
      </c>
      <c r="B24" s="313">
        <f>B23+B22</f>
        <v>0</v>
      </c>
      <c r="C24" s="313">
        <f>C23+C22</f>
        <v>0</v>
      </c>
      <c r="D24" s="313">
        <f>D23+D22</f>
        <v>0</v>
      </c>
      <c r="E24" s="314">
        <f>E23+E22</f>
        <v>0</v>
      </c>
      <c r="F24" s="303"/>
    </row>
    <row r="25" spans="1:6" ht="16.2" customHeight="1" thickTop="1" x14ac:dyDescent="0.3">
      <c r="A25" s="251" t="s">
        <v>311</v>
      </c>
      <c r="B25" s="310">
        <f>B22*$C$14</f>
        <v>0</v>
      </c>
      <c r="C25" s="310">
        <f>C22*$C$14</f>
        <v>0</v>
      </c>
      <c r="D25" s="310">
        <f>D22*$C$14</f>
        <v>0</v>
      </c>
      <c r="E25" s="311">
        <f>B25+C25+D25</f>
        <v>0</v>
      </c>
      <c r="F25" s="302"/>
    </row>
    <row r="26" spans="1:6" ht="15.6" customHeight="1" x14ac:dyDescent="0.3">
      <c r="A26" s="251" t="s">
        <v>312</v>
      </c>
      <c r="B26" s="315">
        <f>IF(B23&gt;(B22*0.33),B23*$E$14,B23*C31)</f>
        <v>0</v>
      </c>
      <c r="C26" s="315">
        <f>C23*$E$14</f>
        <v>0</v>
      </c>
      <c r="D26" s="315">
        <f>D23*$E$14</f>
        <v>0</v>
      </c>
      <c r="E26" s="316">
        <f>B26+C26+D26</f>
        <v>0</v>
      </c>
      <c r="F26" s="302"/>
    </row>
    <row r="27" spans="1:6" ht="15.6" customHeight="1" x14ac:dyDescent="0.3">
      <c r="A27" s="306" t="s">
        <v>283</v>
      </c>
      <c r="B27" s="310">
        <f>B26+B25</f>
        <v>0</v>
      </c>
      <c r="C27" s="310">
        <f>C26+C25</f>
        <v>0</v>
      </c>
      <c r="D27" s="310">
        <f>D26+D25</f>
        <v>0</v>
      </c>
      <c r="E27" s="311">
        <f>B27+C27+D27</f>
        <v>0</v>
      </c>
      <c r="F27" s="302"/>
    </row>
    <row r="28" spans="1:6" ht="16.2" customHeight="1" thickBot="1" x14ac:dyDescent="0.35">
      <c r="A28" s="250" t="s">
        <v>323</v>
      </c>
      <c r="B28" s="317">
        <f>B24+B27</f>
        <v>0</v>
      </c>
      <c r="C28" s="317">
        <f>C27+C24</f>
        <v>0</v>
      </c>
      <c r="D28" s="317">
        <f>D27+D24</f>
        <v>0</v>
      </c>
      <c r="E28" s="318">
        <f>E27+E24</f>
        <v>0</v>
      </c>
      <c r="F28" s="303"/>
    </row>
    <row r="29" spans="1:6" ht="15" customHeight="1" thickTop="1" x14ac:dyDescent="0.3"/>
  </sheetData>
  <hyperlinks>
    <hyperlink ref="B16" r:id="rId1" xr:uid="{00000000-0004-0000-1300-000000000000}"/>
  </hyperlinks>
  <pageMargins left="0.7" right="0.7" top="0.75" bottom="0.75" header="0.3" footer="0.3"/>
  <pageSetup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AF101"/>
  <sheetViews>
    <sheetView zoomScale="110" zoomScaleNormal="110" workbookViewId="0">
      <pane xSplit="2" ySplit="2" topLeftCell="Z42" activePane="bottomRight" state="frozen"/>
      <selection pane="topRight" activeCell="P125" sqref="P125"/>
      <selection pane="bottomLeft" activeCell="P125" sqref="P125"/>
      <selection pane="bottomRight" activeCell="X7" sqref="X7"/>
    </sheetView>
  </sheetViews>
  <sheetFormatPr defaultColWidth="8.6640625" defaultRowHeight="14.4" x14ac:dyDescent="0.3"/>
  <cols>
    <col min="1" max="1" width="39.6640625" bestFit="1" customWidth="1"/>
    <col min="2" max="2" width="10.33203125" bestFit="1" customWidth="1"/>
    <col min="3" max="5" width="11.6640625" customWidth="1"/>
    <col min="6" max="8" width="15.6640625" customWidth="1"/>
    <col min="9" max="9" width="5.6640625" customWidth="1"/>
    <col min="10" max="11" width="11.6640625" customWidth="1"/>
    <col min="12" max="14" width="15.6640625" customWidth="1"/>
    <col min="15" max="15" width="5.6640625" customWidth="1"/>
    <col min="16" max="17" width="11.6640625" customWidth="1"/>
    <col min="18" max="20" width="15.6640625" customWidth="1"/>
    <col min="21" max="21" width="5.6640625" customWidth="1"/>
    <col min="22" max="23" width="11.6640625" customWidth="1"/>
    <col min="24" max="26" width="15.6640625" customWidth="1"/>
    <col min="27" max="27" width="5.6640625" customWidth="1"/>
    <col min="28" max="29" width="11.6640625" customWidth="1"/>
    <col min="30" max="32" width="15.6640625" customWidth="1"/>
  </cols>
  <sheetData>
    <row r="2" spans="1:32" x14ac:dyDescent="0.3">
      <c r="A2" s="55" t="s">
        <v>324</v>
      </c>
      <c r="C2" s="440" t="s">
        <v>325</v>
      </c>
      <c r="D2" s="397"/>
      <c r="E2" s="397"/>
      <c r="F2" s="397"/>
      <c r="G2" s="397"/>
      <c r="H2" s="397"/>
      <c r="J2" s="440" t="s">
        <v>326</v>
      </c>
      <c r="K2" s="397"/>
      <c r="L2" s="397"/>
      <c r="M2" s="397"/>
      <c r="N2" s="397"/>
      <c r="P2" s="440" t="s">
        <v>327</v>
      </c>
      <c r="Q2" s="397"/>
      <c r="R2" s="397"/>
      <c r="S2" s="397"/>
      <c r="T2" s="397"/>
      <c r="V2" s="440" t="s">
        <v>328</v>
      </c>
      <c r="W2" s="397"/>
      <c r="X2" s="397"/>
      <c r="Y2" s="397"/>
      <c r="Z2" s="397"/>
      <c r="AB2" s="440" t="s">
        <v>329</v>
      </c>
      <c r="AC2" s="397"/>
      <c r="AD2" s="397"/>
      <c r="AE2" s="397"/>
      <c r="AF2" s="397"/>
    </row>
    <row r="4" spans="1:32" x14ac:dyDescent="0.3">
      <c r="A4" s="2" t="s">
        <v>122</v>
      </c>
      <c r="B4" s="2" t="s">
        <v>330</v>
      </c>
      <c r="C4" s="2" t="s">
        <v>331</v>
      </c>
      <c r="D4" s="2" t="s">
        <v>332</v>
      </c>
      <c r="E4" s="2" t="s">
        <v>332</v>
      </c>
      <c r="F4" s="2" t="s">
        <v>333</v>
      </c>
      <c r="G4" s="2" t="s">
        <v>58</v>
      </c>
      <c r="H4" s="2" t="s">
        <v>284</v>
      </c>
      <c r="J4" s="2" t="s">
        <v>331</v>
      </c>
      <c r="K4" s="2" t="s">
        <v>332</v>
      </c>
      <c r="L4" s="2" t="s">
        <v>333</v>
      </c>
      <c r="M4" s="2" t="s">
        <v>58</v>
      </c>
      <c r="N4" s="2" t="s">
        <v>284</v>
      </c>
      <c r="P4" s="2" t="s">
        <v>331</v>
      </c>
      <c r="Q4" s="2" t="s">
        <v>332</v>
      </c>
      <c r="R4" s="2" t="s">
        <v>333</v>
      </c>
      <c r="S4" s="2" t="s">
        <v>58</v>
      </c>
      <c r="T4" s="2" t="s">
        <v>284</v>
      </c>
      <c r="V4" s="2" t="s">
        <v>331</v>
      </c>
      <c r="W4" s="2" t="s">
        <v>332</v>
      </c>
      <c r="X4" s="2" t="s">
        <v>333</v>
      </c>
      <c r="Y4" s="2" t="s">
        <v>58</v>
      </c>
      <c r="Z4" s="2" t="s">
        <v>284</v>
      </c>
      <c r="AB4" s="2" t="s">
        <v>331</v>
      </c>
      <c r="AC4" s="2" t="s">
        <v>332</v>
      </c>
      <c r="AD4" s="2" t="s">
        <v>333</v>
      </c>
      <c r="AE4" s="2" t="s">
        <v>58</v>
      </c>
      <c r="AF4" s="2" t="s">
        <v>284</v>
      </c>
    </row>
    <row r="5" spans="1:32" x14ac:dyDescent="0.3">
      <c r="A5" s="118">
        <f>Personnel!A5</f>
        <v>0</v>
      </c>
      <c r="B5" s="118" t="str">
        <f>Personnel!B5</f>
        <v>Yes</v>
      </c>
      <c r="C5" s="215">
        <f>IF('Sponsor Cost'!$C$58="Yes", Personnel!$D5*Personnel!$F$74,Personnel!D5)</f>
        <v>0</v>
      </c>
      <c r="D5" s="118">
        <f>Personnel!C5</f>
        <v>0</v>
      </c>
      <c r="E5" s="217">
        <f>Personnel!F5</f>
        <v>0</v>
      </c>
      <c r="F5" s="215">
        <f>'Labor Detail'!B5</f>
        <v>0</v>
      </c>
      <c r="G5" s="215">
        <f>'Labor Detail'!H5</f>
        <v>0</v>
      </c>
      <c r="H5" s="215">
        <f>G5+F5</f>
        <v>0</v>
      </c>
      <c r="J5" s="215">
        <f>IF('Sponsor Cost'!$C$59="Yes", Personnel!$D5*Personnel!$G$74,$C5)</f>
        <v>0</v>
      </c>
      <c r="K5" s="217">
        <f>Personnel!G5</f>
        <v>0</v>
      </c>
      <c r="L5" s="215">
        <f>'Labor Detail'!C5</f>
        <v>0</v>
      </c>
      <c r="M5" s="215">
        <f>'Labor Detail'!I5</f>
        <v>0</v>
      </c>
      <c r="N5" s="215">
        <f>M5+L5</f>
        <v>0</v>
      </c>
      <c r="P5" s="215">
        <f>IF('Sponsor Cost'!$C$59="Yes", Personnel!$D5*Personnel!$H$74,$C5)</f>
        <v>0</v>
      </c>
      <c r="Q5" s="217">
        <f>Personnel!H5</f>
        <v>0</v>
      </c>
      <c r="R5" s="215">
        <f>'Labor Detail'!D5</f>
        <v>0</v>
      </c>
      <c r="S5" s="215">
        <f>'Labor Detail'!J5</f>
        <v>0</v>
      </c>
      <c r="T5" s="215">
        <f>S5+R5</f>
        <v>0</v>
      </c>
      <c r="V5" s="215">
        <f>IF('Sponsor Cost'!$C$59="Yes", Personnel!$D5*Personnel!$I$74,$C5)</f>
        <v>0</v>
      </c>
      <c r="W5" s="217">
        <f>Personnel!I5</f>
        <v>0</v>
      </c>
      <c r="X5" s="215">
        <f>'Labor Detail'!E5</f>
        <v>0</v>
      </c>
      <c r="Y5" s="215">
        <f>'Labor Detail'!K5</f>
        <v>0</v>
      </c>
      <c r="Z5" s="215">
        <f>Y5+X5</f>
        <v>0</v>
      </c>
      <c r="AB5" s="215">
        <f>IF('Sponsor Cost'!$C$59="Yes", Personnel!$D5*Personnel!$J$74,$C5)</f>
        <v>0</v>
      </c>
      <c r="AC5" s="217">
        <f>Personnel!J5</f>
        <v>0</v>
      </c>
      <c r="AD5" s="215">
        <f>'Labor Detail'!F5</f>
        <v>0</v>
      </c>
      <c r="AE5" s="215">
        <f>'Labor Detail'!L5</f>
        <v>0</v>
      </c>
      <c r="AF5" s="215">
        <f>AE5+AD5</f>
        <v>0</v>
      </c>
    </row>
    <row r="6" spans="1:32" x14ac:dyDescent="0.3">
      <c r="A6" s="118">
        <f>Personnel!A6</f>
        <v>0</v>
      </c>
      <c r="B6" s="118">
        <f>Personnel!B6</f>
        <v>0</v>
      </c>
      <c r="C6" s="215">
        <f>IF('Sponsor Cost'!$C$58="Yes", Personnel!$D6*Personnel!$F$74,Personnel!D6)</f>
        <v>0</v>
      </c>
      <c r="D6" s="118">
        <f>Personnel!C6</f>
        <v>0</v>
      </c>
      <c r="E6" s="217">
        <f>Personnel!F6</f>
        <v>0</v>
      </c>
      <c r="F6" s="215">
        <f>'Labor Detail'!B6</f>
        <v>0</v>
      </c>
      <c r="G6" s="215">
        <f>'Labor Detail'!H6</f>
        <v>0</v>
      </c>
      <c r="H6" s="215">
        <f>G6+F6</f>
        <v>0</v>
      </c>
      <c r="J6" s="215">
        <f>IF('Sponsor Cost'!$C$59="Yes", Personnel!$D6*Personnel!$G$74,$C6)</f>
        <v>0</v>
      </c>
      <c r="K6" s="217">
        <f>Personnel!G6</f>
        <v>0</v>
      </c>
      <c r="L6" s="215">
        <f>'Labor Detail'!C6</f>
        <v>0</v>
      </c>
      <c r="M6" s="215">
        <f>'Labor Detail'!I6</f>
        <v>0</v>
      </c>
      <c r="N6" s="215">
        <f>M6+L6</f>
        <v>0</v>
      </c>
      <c r="P6" s="215">
        <f>IF('Sponsor Cost'!$C$59="Yes", Personnel!$D6*Personnel!$H$74,$C6)</f>
        <v>0</v>
      </c>
      <c r="Q6" s="217">
        <f>Personnel!H6</f>
        <v>0</v>
      </c>
      <c r="R6" s="215">
        <f>'Labor Detail'!D6</f>
        <v>0</v>
      </c>
      <c r="S6" s="215">
        <f>'Labor Detail'!J6</f>
        <v>0</v>
      </c>
      <c r="T6" s="215">
        <f>S6+R6</f>
        <v>0</v>
      </c>
      <c r="V6" s="215">
        <f>IF('Sponsor Cost'!$C$59="Yes", Personnel!$D6*Personnel!$I$74,$C6)</f>
        <v>0</v>
      </c>
      <c r="W6" s="217">
        <f>Personnel!I6</f>
        <v>0</v>
      </c>
      <c r="X6" s="215">
        <f>'Labor Detail'!E6</f>
        <v>0</v>
      </c>
      <c r="Y6" s="215">
        <f>'Labor Detail'!K6</f>
        <v>0</v>
      </c>
      <c r="Z6" s="215">
        <f>Y6+X6</f>
        <v>0</v>
      </c>
      <c r="AB6" s="215">
        <f>IF('Sponsor Cost'!$C$59="Yes", Personnel!$D6*Personnel!$J$74,$C6)</f>
        <v>0</v>
      </c>
      <c r="AC6" s="217">
        <f>Personnel!J6</f>
        <v>0</v>
      </c>
      <c r="AD6" s="215">
        <f>'Labor Detail'!F6</f>
        <v>0</v>
      </c>
      <c r="AE6" s="215">
        <f>'Labor Detail'!L6</f>
        <v>0</v>
      </c>
      <c r="AF6" s="215">
        <f>AE6+AD6</f>
        <v>0</v>
      </c>
    </row>
    <row r="7" spans="1:32" x14ac:dyDescent="0.3">
      <c r="A7" s="118">
        <f>Personnel!A7</f>
        <v>0</v>
      </c>
      <c r="B7" s="118">
        <f>Personnel!B7</f>
        <v>0</v>
      </c>
      <c r="C7" s="215">
        <f>IF('Sponsor Cost'!$C$58="Yes", Personnel!$D7*Personnel!$F$74,Personnel!D7)</f>
        <v>0</v>
      </c>
      <c r="D7" s="118">
        <f>Personnel!C7</f>
        <v>0</v>
      </c>
      <c r="E7" s="217">
        <f>Personnel!F7</f>
        <v>0</v>
      </c>
      <c r="F7" s="215">
        <f>'Labor Detail'!B7</f>
        <v>0</v>
      </c>
      <c r="G7" s="215">
        <f>'Labor Detail'!H7</f>
        <v>0</v>
      </c>
      <c r="H7" s="215">
        <f>G7+F7</f>
        <v>0</v>
      </c>
      <c r="J7" s="215">
        <f>IF('Sponsor Cost'!$C$59="Yes", Personnel!$D7*Personnel!$G$74,$C7)</f>
        <v>0</v>
      </c>
      <c r="K7" s="217">
        <f>Personnel!G7</f>
        <v>0</v>
      </c>
      <c r="L7" s="215">
        <f>'Labor Detail'!C7</f>
        <v>0</v>
      </c>
      <c r="M7" s="215">
        <f>'Labor Detail'!I7</f>
        <v>0</v>
      </c>
      <c r="N7" s="215">
        <f>M7+L7</f>
        <v>0</v>
      </c>
      <c r="P7" s="215">
        <f>IF('Sponsor Cost'!$C$59="Yes", Personnel!$D7*Personnel!$H$74,$C7)</f>
        <v>0</v>
      </c>
      <c r="Q7" s="217">
        <f>Personnel!H7</f>
        <v>0</v>
      </c>
      <c r="R7" s="215">
        <f>'Labor Detail'!D7</f>
        <v>0</v>
      </c>
      <c r="S7" s="215">
        <f>'Labor Detail'!J7</f>
        <v>0</v>
      </c>
      <c r="T7" s="215">
        <f>S7+R7</f>
        <v>0</v>
      </c>
      <c r="V7" s="215">
        <f>IF('Sponsor Cost'!$C$59="Yes", Personnel!$D7*Personnel!$I$74,$C7)</f>
        <v>0</v>
      </c>
      <c r="W7" s="217">
        <f>Personnel!I7</f>
        <v>0</v>
      </c>
      <c r="X7" s="215">
        <f>'Labor Detail'!E7</f>
        <v>0</v>
      </c>
      <c r="Y7" s="215">
        <f>'Labor Detail'!K7</f>
        <v>0</v>
      </c>
      <c r="Z7" s="215">
        <f>Y7+X7</f>
        <v>0</v>
      </c>
      <c r="AB7" s="215">
        <f>IF('Sponsor Cost'!$C$59="Yes", Personnel!$D7*Personnel!$J$74,$C7)</f>
        <v>0</v>
      </c>
      <c r="AC7" s="217">
        <f>Personnel!J7</f>
        <v>0</v>
      </c>
      <c r="AD7" s="215">
        <f>'Labor Detail'!F7</f>
        <v>0</v>
      </c>
      <c r="AE7" s="215">
        <f>'Labor Detail'!L7</f>
        <v>0</v>
      </c>
      <c r="AF7" s="215">
        <f>AE7+AD7</f>
        <v>0</v>
      </c>
    </row>
    <row r="8" spans="1:32" x14ac:dyDescent="0.3">
      <c r="A8" s="118">
        <f>Personnel!A8</f>
        <v>0</v>
      </c>
      <c r="B8" s="118">
        <f>Personnel!B8</f>
        <v>0</v>
      </c>
      <c r="C8" s="215">
        <f>IF('Sponsor Cost'!$C$58="Yes", Personnel!$D8*Personnel!$F$74,Personnel!D8)</f>
        <v>0</v>
      </c>
      <c r="D8" s="118">
        <f>Personnel!C8</f>
        <v>0</v>
      </c>
      <c r="E8" s="217">
        <f>Personnel!F8</f>
        <v>0</v>
      </c>
      <c r="F8" s="215">
        <f>'Labor Detail'!B8</f>
        <v>0</v>
      </c>
      <c r="G8" s="215">
        <f>'Labor Detail'!H8</f>
        <v>0</v>
      </c>
      <c r="H8" s="215">
        <f>G8+F8</f>
        <v>0</v>
      </c>
      <c r="J8" s="215">
        <f>IF('Sponsor Cost'!$C$59="Yes", Personnel!$D8*Personnel!$G$74,$C8)</f>
        <v>0</v>
      </c>
      <c r="K8" s="217">
        <f>Personnel!G8</f>
        <v>0</v>
      </c>
      <c r="L8" s="215">
        <f>'Labor Detail'!C8</f>
        <v>0</v>
      </c>
      <c r="M8" s="215">
        <f>'Labor Detail'!I8</f>
        <v>0</v>
      </c>
      <c r="N8" s="215">
        <f>M8+L8</f>
        <v>0</v>
      </c>
      <c r="P8" s="215">
        <f>IF('Sponsor Cost'!$C$59="Yes", Personnel!$D8*Personnel!$H$74,$C8)</f>
        <v>0</v>
      </c>
      <c r="Q8" s="217">
        <f>Personnel!H8</f>
        <v>0</v>
      </c>
      <c r="R8" s="215">
        <f>'Labor Detail'!D8</f>
        <v>0</v>
      </c>
      <c r="S8" s="215">
        <f>'Labor Detail'!J8</f>
        <v>0</v>
      </c>
      <c r="T8" s="215">
        <f>S8+R8</f>
        <v>0</v>
      </c>
      <c r="V8" s="215">
        <f>IF('Sponsor Cost'!$C$59="Yes", Personnel!$D8*Personnel!$I$74,$C8)</f>
        <v>0</v>
      </c>
      <c r="W8" s="217">
        <f>Personnel!I8</f>
        <v>0</v>
      </c>
      <c r="X8" s="215">
        <f>'Labor Detail'!E8</f>
        <v>0</v>
      </c>
      <c r="Y8" s="215">
        <f>'Labor Detail'!K8</f>
        <v>0</v>
      </c>
      <c r="Z8" s="215">
        <f>Y8+X8</f>
        <v>0</v>
      </c>
      <c r="AB8" s="215">
        <f>IF('Sponsor Cost'!$C$59="Yes", Personnel!$D8*Personnel!$J$74,$C8)</f>
        <v>0</v>
      </c>
      <c r="AC8" s="217">
        <f>Personnel!J8</f>
        <v>0</v>
      </c>
      <c r="AD8" s="215">
        <f>'Labor Detail'!F8</f>
        <v>0</v>
      </c>
      <c r="AE8" s="215">
        <f>'Labor Detail'!L8</f>
        <v>0</v>
      </c>
      <c r="AF8" s="215">
        <f>AE8+AD8</f>
        <v>0</v>
      </c>
    </row>
    <row r="9" spans="1:32" x14ac:dyDescent="0.3">
      <c r="G9" s="216" t="s">
        <v>334</v>
      </c>
      <c r="H9" s="218">
        <f>SUM(H5:H8)</f>
        <v>0</v>
      </c>
      <c r="M9" s="216" t="s">
        <v>334</v>
      </c>
      <c r="N9" s="218">
        <f>SUM(N5:N8)</f>
        <v>0</v>
      </c>
      <c r="S9" s="216" t="s">
        <v>334</v>
      </c>
      <c r="T9" s="218">
        <f>SUM(T5:T8)</f>
        <v>0</v>
      </c>
      <c r="Y9" s="216" t="s">
        <v>334</v>
      </c>
      <c r="Z9" s="218">
        <f>ROUND(SUM(Z5:Z8),0)</f>
        <v>0</v>
      </c>
      <c r="AE9" s="216" t="s">
        <v>334</v>
      </c>
      <c r="AF9" s="218">
        <f>SUM(AF5:AF8)</f>
        <v>0</v>
      </c>
    </row>
    <row r="11" spans="1:32" x14ac:dyDescent="0.3">
      <c r="A11" s="55" t="s">
        <v>335</v>
      </c>
    </row>
    <row r="12" spans="1:32" x14ac:dyDescent="0.3">
      <c r="A12" s="2"/>
    </row>
    <row r="13" spans="1:32" x14ac:dyDescent="0.3">
      <c r="A13" s="2" t="s">
        <v>122</v>
      </c>
      <c r="D13" s="2"/>
      <c r="E13" s="2" t="s">
        <v>332</v>
      </c>
      <c r="F13" s="2" t="s">
        <v>333</v>
      </c>
      <c r="G13" s="2" t="s">
        <v>58</v>
      </c>
      <c r="H13" s="2" t="s">
        <v>284</v>
      </c>
      <c r="K13" s="2" t="s">
        <v>332</v>
      </c>
      <c r="L13" s="2" t="s">
        <v>333</v>
      </c>
      <c r="M13" s="2" t="s">
        <v>58</v>
      </c>
      <c r="N13" s="2" t="s">
        <v>284</v>
      </c>
      <c r="Q13" s="2" t="s">
        <v>332</v>
      </c>
      <c r="R13" s="2" t="s">
        <v>333</v>
      </c>
      <c r="S13" s="2" t="s">
        <v>58</v>
      </c>
      <c r="T13" s="2" t="s">
        <v>284</v>
      </c>
      <c r="W13" s="2" t="s">
        <v>332</v>
      </c>
      <c r="X13" s="2" t="s">
        <v>333</v>
      </c>
      <c r="Y13" s="2" t="s">
        <v>58</v>
      </c>
      <c r="Z13" s="2" t="s">
        <v>284</v>
      </c>
      <c r="AC13" s="2" t="s">
        <v>332</v>
      </c>
      <c r="AD13" s="2" t="s">
        <v>333</v>
      </c>
      <c r="AE13" s="2" t="s">
        <v>58</v>
      </c>
      <c r="AF13" s="2" t="s">
        <v>284</v>
      </c>
    </row>
    <row r="14" spans="1:32" x14ac:dyDescent="0.3">
      <c r="A14" s="118" t="s">
        <v>336</v>
      </c>
      <c r="E14" s="217">
        <f>Personnel!F61</f>
        <v>0</v>
      </c>
      <c r="F14" s="225">
        <f>'Labor Detail'!B61</f>
        <v>0</v>
      </c>
      <c r="G14" s="215">
        <f>'Labor Detail'!H61</f>
        <v>0</v>
      </c>
      <c r="H14" s="215">
        <f>G14+F14</f>
        <v>0</v>
      </c>
      <c r="K14" s="217">
        <f>Personnel!G61</f>
        <v>0</v>
      </c>
      <c r="L14" s="215">
        <f>'Labor Detail'!C61</f>
        <v>0</v>
      </c>
      <c r="M14" s="215">
        <f>'Labor Detail'!I61</f>
        <v>0</v>
      </c>
      <c r="N14" s="215">
        <f>M14+L14</f>
        <v>0</v>
      </c>
      <c r="Q14" s="217">
        <f>Personnel!H61</f>
        <v>0</v>
      </c>
      <c r="R14" s="215">
        <f>'Labor Detail'!D61</f>
        <v>0</v>
      </c>
      <c r="S14" s="215">
        <f>'Labor Detail'!J61</f>
        <v>0</v>
      </c>
      <c r="T14" s="215">
        <f>S14+R14</f>
        <v>0</v>
      </c>
      <c r="W14" s="217">
        <f>Personnel!I61</f>
        <v>0</v>
      </c>
      <c r="X14" s="215">
        <f>'Labor Detail'!E61</f>
        <v>0</v>
      </c>
      <c r="Y14" s="215">
        <f>'Labor Detail'!K61</f>
        <v>0</v>
      </c>
      <c r="Z14" s="215">
        <f>Y14+X14</f>
        <v>0</v>
      </c>
      <c r="AC14" s="217">
        <f>Personnel!J61</f>
        <v>0</v>
      </c>
      <c r="AD14" s="215">
        <f>'Labor Detail'!F61</f>
        <v>0</v>
      </c>
      <c r="AE14" s="215">
        <f>'Labor Detail'!L61</f>
        <v>0</v>
      </c>
      <c r="AF14" s="215">
        <f>AE14+AD14</f>
        <v>0</v>
      </c>
    </row>
    <row r="15" spans="1:32" x14ac:dyDescent="0.3">
      <c r="A15" s="118" t="s">
        <v>56</v>
      </c>
      <c r="E15" s="217">
        <f>Personnel!F69</f>
        <v>0</v>
      </c>
      <c r="F15" s="225">
        <f>'Labor Detail'!B69</f>
        <v>0</v>
      </c>
      <c r="G15" s="215">
        <f>'Labor Detail'!H69</f>
        <v>0</v>
      </c>
      <c r="H15" s="215">
        <f>G15+F15</f>
        <v>0</v>
      </c>
      <c r="K15" s="217">
        <f>Personnel!G69</f>
        <v>0</v>
      </c>
      <c r="L15" s="215">
        <f>'Labor Detail'!C69</f>
        <v>0</v>
      </c>
      <c r="M15" s="215">
        <f>'Labor Detail'!I69</f>
        <v>0</v>
      </c>
      <c r="N15" s="215">
        <f>M15+L15</f>
        <v>0</v>
      </c>
      <c r="Q15" s="217">
        <f>Personnel!H69</f>
        <v>0</v>
      </c>
      <c r="R15" s="215">
        <f>'Labor Detail'!D69</f>
        <v>0</v>
      </c>
      <c r="S15" s="215">
        <f>'Labor Detail'!J69</f>
        <v>0</v>
      </c>
      <c r="T15" s="215">
        <f>S15+R15</f>
        <v>0</v>
      </c>
      <c r="W15" s="217">
        <f>Personnel!I69</f>
        <v>0</v>
      </c>
      <c r="X15" s="215">
        <f>'Labor Detail'!E69</f>
        <v>0</v>
      </c>
      <c r="Y15" s="215">
        <f>'Labor Detail'!K69</f>
        <v>0</v>
      </c>
      <c r="Z15" s="215">
        <f>Y15+X15</f>
        <v>0</v>
      </c>
      <c r="AC15" s="217">
        <f>Personnel!J69</f>
        <v>0</v>
      </c>
      <c r="AD15" s="215">
        <f>'Labor Detail'!F69</f>
        <v>0</v>
      </c>
      <c r="AE15" s="215">
        <f>'Labor Detail'!L69</f>
        <v>0</v>
      </c>
      <c r="AF15" s="215">
        <f>AE15+AD15</f>
        <v>0</v>
      </c>
    </row>
    <row r="16" spans="1:32" x14ac:dyDescent="0.3">
      <c r="A16" s="118" t="s">
        <v>337</v>
      </c>
      <c r="E16" s="217">
        <f>Personnel!F53</f>
        <v>0</v>
      </c>
      <c r="F16" s="225">
        <f>'Labor Detail'!B53</f>
        <v>0</v>
      </c>
      <c r="G16" s="215">
        <f>'Labor Detail'!H53</f>
        <v>0</v>
      </c>
      <c r="H16" s="215">
        <f>G16+F16</f>
        <v>0</v>
      </c>
      <c r="K16" s="217">
        <f>Personnel!G53</f>
        <v>0</v>
      </c>
      <c r="L16" s="215">
        <f>'Labor Detail'!C53</f>
        <v>0</v>
      </c>
      <c r="M16" s="215">
        <f>'Labor Detail'!I53</f>
        <v>0</v>
      </c>
      <c r="N16" s="215">
        <f>M16+L16</f>
        <v>0</v>
      </c>
      <c r="Q16" s="217">
        <f>Personnel!H53</f>
        <v>0</v>
      </c>
      <c r="R16" s="215">
        <f>'Labor Detail'!D53</f>
        <v>0</v>
      </c>
      <c r="S16" s="215">
        <f>'Labor Detail'!J53</f>
        <v>0</v>
      </c>
      <c r="T16" s="215">
        <f>S16+R16</f>
        <v>0</v>
      </c>
      <c r="W16" s="217">
        <f>Personnel!I53</f>
        <v>0</v>
      </c>
      <c r="X16" s="215">
        <f>'Labor Detail'!E53</f>
        <v>0</v>
      </c>
      <c r="Y16" s="215">
        <f>'Labor Detail'!K53</f>
        <v>0</v>
      </c>
      <c r="Z16" s="215">
        <f>Y16+X16</f>
        <v>0</v>
      </c>
      <c r="AC16" s="217">
        <f>Personnel!J53</f>
        <v>0</v>
      </c>
      <c r="AD16" s="215">
        <f>'Labor Detail'!F53</f>
        <v>0</v>
      </c>
      <c r="AE16" s="215">
        <f>'Labor Detail'!L52</f>
        <v>0</v>
      </c>
      <c r="AF16" s="215">
        <f>AE16+AD16</f>
        <v>0</v>
      </c>
    </row>
    <row r="17" spans="1:32" x14ac:dyDescent="0.3">
      <c r="A17" s="118" t="s">
        <v>338</v>
      </c>
      <c r="E17" s="217">
        <f>Personnel!F45</f>
        <v>0</v>
      </c>
      <c r="F17" s="225">
        <f>'Labor Detail'!B45</f>
        <v>0</v>
      </c>
      <c r="G17" s="215">
        <f>'Labor Detail'!H45</f>
        <v>0</v>
      </c>
      <c r="H17" s="215">
        <f>G17+F17</f>
        <v>0</v>
      </c>
      <c r="K17" s="217">
        <f>Personnel!G45</f>
        <v>0</v>
      </c>
      <c r="L17" s="215">
        <f>'Labor Detail'!C45</f>
        <v>0</v>
      </c>
      <c r="M17" s="215">
        <f>'Labor Detail'!I45</f>
        <v>0</v>
      </c>
      <c r="N17" s="215">
        <f>M17+L17</f>
        <v>0</v>
      </c>
      <c r="Q17" s="217">
        <f>Personnel!H45</f>
        <v>0</v>
      </c>
      <c r="R17" s="215">
        <f>'Labor Detail'!D45</f>
        <v>0</v>
      </c>
      <c r="S17" s="215">
        <f>'Labor Detail'!J45</f>
        <v>0</v>
      </c>
      <c r="T17" s="215">
        <f>S17+R17</f>
        <v>0</v>
      </c>
      <c r="W17" s="217">
        <f>Personnel!I45</f>
        <v>0</v>
      </c>
      <c r="X17" s="215">
        <f>'Labor Detail'!E45</f>
        <v>0</v>
      </c>
      <c r="Y17" s="215">
        <f>'Labor Detail'!K45</f>
        <v>0</v>
      </c>
      <c r="Z17" s="215">
        <f>Y17+X17</f>
        <v>0</v>
      </c>
      <c r="AC17" s="217">
        <f>Personnel!J45</f>
        <v>0</v>
      </c>
      <c r="AD17" s="215">
        <f>'Labor Detail'!F45</f>
        <v>0</v>
      </c>
      <c r="AE17" s="215">
        <f>'Labor Detail'!L45</f>
        <v>0</v>
      </c>
      <c r="AF17" s="215">
        <f>AE17+AD17</f>
        <v>0</v>
      </c>
    </row>
    <row r="19" spans="1:32" x14ac:dyDescent="0.3">
      <c r="A19" s="55" t="s">
        <v>339</v>
      </c>
      <c r="B19" s="2"/>
      <c r="D19" s="2"/>
      <c r="E19" s="220">
        <f>SUM(E14:E17)/12</f>
        <v>0</v>
      </c>
      <c r="F19" s="2"/>
      <c r="G19" s="216" t="s">
        <v>340</v>
      </c>
      <c r="H19" s="218">
        <f>SUM(H14:H17)</f>
        <v>0</v>
      </c>
      <c r="K19" s="220">
        <f>SUM(K14:K17)/12</f>
        <v>0</v>
      </c>
      <c r="L19" s="2"/>
      <c r="M19" s="216" t="s">
        <v>340</v>
      </c>
      <c r="N19" s="218">
        <f>SUM(N14:N17)</f>
        <v>0</v>
      </c>
      <c r="P19" s="220"/>
      <c r="Q19" s="220">
        <f>SUM(Q14:Q17)/12</f>
        <v>0</v>
      </c>
      <c r="R19" s="2"/>
      <c r="S19" s="216" t="s">
        <v>340</v>
      </c>
      <c r="T19" s="218">
        <f>SUM(T14:T17)</f>
        <v>0</v>
      </c>
      <c r="W19" s="220">
        <f>SUM(W14:W17)/12</f>
        <v>0</v>
      </c>
      <c r="X19" s="2"/>
      <c r="Y19" s="216" t="s">
        <v>340</v>
      </c>
      <c r="Z19" s="218">
        <f>ROUND(SUM(Z14:Z17),0)</f>
        <v>0</v>
      </c>
      <c r="AC19" s="220">
        <f>SUM(AC14:AC17)/12</f>
        <v>0</v>
      </c>
      <c r="AD19" s="2"/>
      <c r="AE19" s="216" t="s">
        <v>340</v>
      </c>
      <c r="AF19" s="218">
        <f>SUM(AF14:AF17)</f>
        <v>0</v>
      </c>
    </row>
    <row r="21" spans="1:32" x14ac:dyDescent="0.3">
      <c r="G21" s="216" t="s">
        <v>341</v>
      </c>
      <c r="H21" s="219">
        <f>H19+H9</f>
        <v>0</v>
      </c>
      <c r="M21" s="216" t="s">
        <v>341</v>
      </c>
      <c r="N21" s="219">
        <f>N19+N9</f>
        <v>0</v>
      </c>
      <c r="S21" s="216" t="s">
        <v>341</v>
      </c>
      <c r="T21" s="219">
        <f>T19+T9</f>
        <v>0</v>
      </c>
      <c r="Y21" s="216" t="s">
        <v>341</v>
      </c>
      <c r="Z21" s="219">
        <f>ROUND(Z19+Z9,0)</f>
        <v>0</v>
      </c>
      <c r="AE21" s="216" t="s">
        <v>341</v>
      </c>
      <c r="AF21" s="219">
        <f>AF19+AF9</f>
        <v>0</v>
      </c>
    </row>
    <row r="23" spans="1:32" x14ac:dyDescent="0.3">
      <c r="A23" s="55" t="s">
        <v>342</v>
      </c>
    </row>
    <row r="25" spans="1:32" x14ac:dyDescent="0.3">
      <c r="A25" s="2" t="s">
        <v>343</v>
      </c>
      <c r="H25" s="2" t="s">
        <v>284</v>
      </c>
      <c r="N25" s="2" t="s">
        <v>284</v>
      </c>
      <c r="T25" s="2" t="s">
        <v>284</v>
      </c>
      <c r="Z25" s="2" t="s">
        <v>284</v>
      </c>
      <c r="AF25" s="2" t="s">
        <v>284</v>
      </c>
    </row>
    <row r="26" spans="1:32" x14ac:dyDescent="0.3">
      <c r="A26" s="118">
        <f>Equipment!A3</f>
        <v>0</v>
      </c>
      <c r="H26" s="215">
        <f>Equipment!D15</f>
        <v>0</v>
      </c>
      <c r="N26" s="215">
        <f>Equipment!E15</f>
        <v>0</v>
      </c>
      <c r="T26" s="215">
        <f>Equipment!F15</f>
        <v>0</v>
      </c>
      <c r="Z26" s="215">
        <f>Equipment!G15</f>
        <v>0</v>
      </c>
      <c r="AF26" s="215">
        <f>Equipment!H15</f>
        <v>0</v>
      </c>
    </row>
    <row r="27" spans="1:32" x14ac:dyDescent="0.3">
      <c r="A27" s="118">
        <f>Equipment!A4</f>
        <v>0</v>
      </c>
      <c r="H27" s="215">
        <f>Equipment!D16</f>
        <v>0</v>
      </c>
      <c r="N27" s="215">
        <f>Equipment!E16</f>
        <v>0</v>
      </c>
      <c r="T27" s="215">
        <f>Equipment!F16</f>
        <v>0</v>
      </c>
      <c r="Z27" s="215">
        <f>Equipment!G16</f>
        <v>0</v>
      </c>
      <c r="AF27" s="215">
        <f>Equipment!H16</f>
        <v>0</v>
      </c>
    </row>
    <row r="28" spans="1:32" x14ac:dyDescent="0.3">
      <c r="A28" s="118">
        <f>Equipment!A5</f>
        <v>0</v>
      </c>
      <c r="H28" s="215">
        <f>Equipment!D17</f>
        <v>0</v>
      </c>
      <c r="N28" s="215">
        <f>Equipment!E17</f>
        <v>0</v>
      </c>
      <c r="T28" s="215">
        <f>Equipment!F17</f>
        <v>0</v>
      </c>
      <c r="Z28" s="215">
        <f>Equipment!G17</f>
        <v>0</v>
      </c>
      <c r="AF28" s="215">
        <f>Equipment!H17</f>
        <v>0</v>
      </c>
    </row>
    <row r="29" spans="1:32" x14ac:dyDescent="0.3">
      <c r="A29" s="118">
        <f>Equipment!A6</f>
        <v>0</v>
      </c>
      <c r="H29" s="215">
        <f>Equipment!D18</f>
        <v>0</v>
      </c>
      <c r="N29" s="215">
        <f>Equipment!E18</f>
        <v>0</v>
      </c>
      <c r="T29" s="215">
        <f>Equipment!F18</f>
        <v>0</v>
      </c>
      <c r="Z29" s="215">
        <f>Equipment!G18</f>
        <v>0</v>
      </c>
      <c r="AF29" s="215">
        <f>Equipment!H18</f>
        <v>0</v>
      </c>
    </row>
    <row r="30" spans="1:32" x14ac:dyDescent="0.3">
      <c r="A30" s="118">
        <f>Equipment!A7</f>
        <v>0</v>
      </c>
      <c r="H30" s="215">
        <f>Equipment!D19</f>
        <v>0</v>
      </c>
      <c r="N30" s="215">
        <f>Equipment!E19</f>
        <v>0</v>
      </c>
      <c r="T30" s="215">
        <f>Equipment!F19</f>
        <v>0</v>
      </c>
      <c r="Z30" s="215">
        <f>Equipment!G19</f>
        <v>0</v>
      </c>
      <c r="AF30" s="215">
        <f>Equipment!H19</f>
        <v>0</v>
      </c>
    </row>
    <row r="31" spans="1:32" x14ac:dyDescent="0.3">
      <c r="G31" s="216" t="s">
        <v>344</v>
      </c>
      <c r="H31" s="219">
        <f>Equipment!D26</f>
        <v>0</v>
      </c>
      <c r="M31" s="216" t="s">
        <v>344</v>
      </c>
      <c r="N31" s="219">
        <f>Equipment!E26</f>
        <v>0</v>
      </c>
      <c r="S31" s="216" t="s">
        <v>344</v>
      </c>
      <c r="T31" s="219">
        <f>Equipment!F26</f>
        <v>0</v>
      </c>
      <c r="Y31" s="216" t="s">
        <v>344</v>
      </c>
      <c r="Z31" s="219">
        <f>Equipment!G26</f>
        <v>0</v>
      </c>
      <c r="AE31" s="216" t="s">
        <v>344</v>
      </c>
      <c r="AF31" s="219">
        <f>Equipment!AB26</f>
        <v>0</v>
      </c>
    </row>
    <row r="33" spans="1:32" x14ac:dyDescent="0.3">
      <c r="A33" s="55" t="s">
        <v>345</v>
      </c>
    </row>
    <row r="35" spans="1:32" x14ac:dyDescent="0.3">
      <c r="A35" t="s">
        <v>346</v>
      </c>
      <c r="H35" s="215">
        <f>Travel!E17</f>
        <v>0</v>
      </c>
      <c r="N35" s="215">
        <f>Travel!F17</f>
        <v>0</v>
      </c>
      <c r="T35" s="215">
        <f>Travel!G17</f>
        <v>0</v>
      </c>
      <c r="Z35" s="215">
        <f>Travel!H17</f>
        <v>0</v>
      </c>
      <c r="AF35" s="215">
        <f>Travel!I17</f>
        <v>0</v>
      </c>
    </row>
    <row r="36" spans="1:32" x14ac:dyDescent="0.3">
      <c r="A36" t="s">
        <v>347</v>
      </c>
      <c r="H36" s="215">
        <f>Travel!E18</f>
        <v>0</v>
      </c>
      <c r="N36" s="215">
        <f>Travel!F18</f>
        <v>0</v>
      </c>
      <c r="T36" s="215">
        <f>Travel!G18</f>
        <v>0</v>
      </c>
      <c r="Z36" s="215">
        <f>Travel!H18</f>
        <v>0</v>
      </c>
      <c r="AF36" s="215">
        <f>Travel!I18</f>
        <v>0</v>
      </c>
    </row>
    <row r="37" spans="1:32" x14ac:dyDescent="0.3">
      <c r="G37" s="216" t="s">
        <v>348</v>
      </c>
      <c r="H37" s="219">
        <f>H36+H35</f>
        <v>0</v>
      </c>
      <c r="M37" s="216" t="s">
        <v>348</v>
      </c>
      <c r="N37" s="219">
        <f>N36+N35</f>
        <v>0</v>
      </c>
      <c r="S37" s="216" t="s">
        <v>348</v>
      </c>
      <c r="T37" s="219">
        <f>T36+T35</f>
        <v>0</v>
      </c>
      <c r="Y37" s="216" t="s">
        <v>348</v>
      </c>
      <c r="Z37" s="219">
        <f>Z36+Z35</f>
        <v>0</v>
      </c>
      <c r="AE37" s="216" t="s">
        <v>348</v>
      </c>
      <c r="AF37" s="219">
        <f>AF36+AF35</f>
        <v>0</v>
      </c>
    </row>
    <row r="39" spans="1:32" x14ac:dyDescent="0.3">
      <c r="A39" s="55" t="s">
        <v>349</v>
      </c>
    </row>
    <row r="40" spans="1:32" x14ac:dyDescent="0.3">
      <c r="H40" s="2" t="s">
        <v>284</v>
      </c>
      <c r="N40" s="2" t="s">
        <v>284</v>
      </c>
      <c r="T40" s="2" t="s">
        <v>284</v>
      </c>
      <c r="Z40" s="2" t="s">
        <v>284</v>
      </c>
      <c r="AF40" s="2" t="s">
        <v>284</v>
      </c>
    </row>
    <row r="41" spans="1:32" x14ac:dyDescent="0.3">
      <c r="A41" t="s">
        <v>196</v>
      </c>
      <c r="H41" s="215">
        <f>'Participant Costs'!D15</f>
        <v>0</v>
      </c>
      <c r="N41" s="215">
        <f>'Participant Costs'!E15</f>
        <v>0</v>
      </c>
      <c r="T41" s="215">
        <f>'Participant Costs'!F15</f>
        <v>0</v>
      </c>
      <c r="Z41" s="215">
        <f>'Participant Costs'!G15</f>
        <v>0</v>
      </c>
      <c r="AF41" s="215">
        <f>'Participant Costs'!H15</f>
        <v>0</v>
      </c>
    </row>
    <row r="42" spans="1:32" x14ac:dyDescent="0.3">
      <c r="A42" t="s">
        <v>197</v>
      </c>
      <c r="H42" s="215">
        <f>'Participant Costs'!D16</f>
        <v>0</v>
      </c>
      <c r="N42" s="215">
        <f>'Participant Costs'!E16</f>
        <v>0</v>
      </c>
      <c r="T42" s="215">
        <f>'Participant Costs'!F16</f>
        <v>0</v>
      </c>
      <c r="Z42" s="215">
        <f>'Participant Costs'!G16</f>
        <v>0</v>
      </c>
      <c r="AF42" s="215">
        <f>'Participant Costs'!H16</f>
        <v>0</v>
      </c>
    </row>
    <row r="43" spans="1:32" x14ac:dyDescent="0.3">
      <c r="A43" t="s">
        <v>198</v>
      </c>
      <c r="H43" s="215">
        <f>'Participant Costs'!D17</f>
        <v>0</v>
      </c>
      <c r="N43" s="215">
        <f>'Participant Costs'!E17</f>
        <v>0</v>
      </c>
      <c r="T43" s="215">
        <f>'Participant Costs'!F17</f>
        <v>0</v>
      </c>
      <c r="Z43" s="215">
        <f>'Participant Costs'!G17</f>
        <v>0</v>
      </c>
      <c r="AF43" s="215">
        <f>'Participant Costs'!H17</f>
        <v>0</v>
      </c>
    </row>
    <row r="44" spans="1:32" x14ac:dyDescent="0.3">
      <c r="A44" t="s">
        <v>199</v>
      </c>
      <c r="H44" s="215">
        <f>'Participant Costs'!D18</f>
        <v>0</v>
      </c>
      <c r="N44" s="215">
        <f>'Participant Costs'!E18</f>
        <v>0</v>
      </c>
      <c r="T44" s="215">
        <f>'Participant Costs'!F18</f>
        <v>0</v>
      </c>
      <c r="Z44" s="215">
        <f>'Participant Costs'!G18</f>
        <v>0</v>
      </c>
      <c r="AF44" s="215">
        <f>'Participant Costs'!H18</f>
        <v>0</v>
      </c>
    </row>
    <row r="45" spans="1:32" x14ac:dyDescent="0.3">
      <c r="A45" t="s">
        <v>32</v>
      </c>
      <c r="H45" s="215">
        <f>'Participant Costs'!D19</f>
        <v>0</v>
      </c>
      <c r="N45" s="215">
        <f>'Participant Costs'!E19</f>
        <v>0</v>
      </c>
      <c r="T45" s="215">
        <f>'Participant Costs'!F19</f>
        <v>0</v>
      </c>
      <c r="Z45" s="215">
        <f>'Participant Costs'!G19</f>
        <v>0</v>
      </c>
      <c r="AF45" s="215">
        <f>'Participant Costs'!H19</f>
        <v>0</v>
      </c>
    </row>
    <row r="46" spans="1:32" x14ac:dyDescent="0.3">
      <c r="A46" t="s">
        <v>350</v>
      </c>
      <c r="D46" s="238"/>
      <c r="G46" s="216" t="s">
        <v>351</v>
      </c>
      <c r="H46" s="219">
        <f>'Participant Costs'!D26</f>
        <v>0</v>
      </c>
      <c r="M46" s="216" t="s">
        <v>351</v>
      </c>
      <c r="N46" s="219">
        <f>'Participant Costs'!E26</f>
        <v>0</v>
      </c>
      <c r="S46" s="216" t="s">
        <v>351</v>
      </c>
      <c r="T46" s="219">
        <f>'Participant Costs'!F26</f>
        <v>0</v>
      </c>
      <c r="Y46" s="216" t="s">
        <v>351</v>
      </c>
      <c r="Z46" s="219">
        <f>'Participant Costs'!G26</f>
        <v>0</v>
      </c>
      <c r="AE46" s="216" t="s">
        <v>351</v>
      </c>
      <c r="AF46" s="219">
        <f>'Participant Costs'!H26</f>
        <v>0</v>
      </c>
    </row>
    <row r="48" spans="1:32" x14ac:dyDescent="0.3">
      <c r="A48" s="55" t="s">
        <v>352</v>
      </c>
    </row>
    <row r="49" spans="1:32" x14ac:dyDescent="0.3">
      <c r="H49" s="2" t="s">
        <v>284</v>
      </c>
      <c r="N49" s="2" t="s">
        <v>284</v>
      </c>
      <c r="T49" s="2" t="s">
        <v>284</v>
      </c>
      <c r="Z49" s="2" t="s">
        <v>284</v>
      </c>
      <c r="AF49" s="2" t="s">
        <v>284</v>
      </c>
    </row>
    <row r="50" spans="1:32" x14ac:dyDescent="0.3">
      <c r="A50" t="s">
        <v>66</v>
      </c>
      <c r="H50" s="215">
        <f>Materials!D26</f>
        <v>0</v>
      </c>
      <c r="N50" s="215">
        <f>Materials!E26</f>
        <v>0</v>
      </c>
      <c r="T50" s="215">
        <f>Materials!F26</f>
        <v>0</v>
      </c>
      <c r="Z50" s="215">
        <f>Materials!G26</f>
        <v>0</v>
      </c>
      <c r="AF50" s="215">
        <f>Materials!H26</f>
        <v>0</v>
      </c>
    </row>
    <row r="51" spans="1:32" x14ac:dyDescent="0.3">
      <c r="A51" s="222" t="s">
        <v>353</v>
      </c>
      <c r="H51" s="223">
        <v>0</v>
      </c>
      <c r="N51" s="239">
        <v>0</v>
      </c>
      <c r="T51" s="239">
        <v>0</v>
      </c>
      <c r="Z51" s="239">
        <v>0</v>
      </c>
      <c r="AF51" s="239">
        <v>0</v>
      </c>
    </row>
    <row r="52" spans="1:32" x14ac:dyDescent="0.3">
      <c r="A52" s="222" t="s">
        <v>256</v>
      </c>
      <c r="H52" s="223">
        <v>0</v>
      </c>
      <c r="N52" s="239">
        <v>0</v>
      </c>
      <c r="T52" s="239">
        <v>0</v>
      </c>
      <c r="Z52" s="239">
        <v>0</v>
      </c>
      <c r="AF52" s="239">
        <v>0</v>
      </c>
    </row>
    <row r="53" spans="1:32" x14ac:dyDescent="0.3">
      <c r="A53" s="222" t="s">
        <v>354</v>
      </c>
      <c r="H53" s="223">
        <v>0</v>
      </c>
      <c r="N53" s="239">
        <v>0</v>
      </c>
      <c r="T53" s="239">
        <v>0</v>
      </c>
      <c r="Z53" s="239">
        <v>0</v>
      </c>
      <c r="AF53" s="239">
        <v>0</v>
      </c>
    </row>
    <row r="54" spans="1:32" x14ac:dyDescent="0.3">
      <c r="A54" t="s">
        <v>355</v>
      </c>
      <c r="H54" s="215">
        <f>Subcontracts!D34+Services_Consulting!D26</f>
        <v>0</v>
      </c>
      <c r="N54" s="215">
        <f>Subcontracts!E34+Services_Consulting!E13</f>
        <v>0</v>
      </c>
      <c r="T54" s="215">
        <f>Subcontracts!F34+Services_Consulting!F26</f>
        <v>0</v>
      </c>
      <c r="Z54" s="215">
        <f>Subcontracts!G34+Services_Consulting!G26</f>
        <v>0</v>
      </c>
      <c r="AF54" s="215">
        <f>Subcontracts!H34+Services_Consulting!H26</f>
        <v>0</v>
      </c>
    </row>
    <row r="55" spans="1:32" x14ac:dyDescent="0.3">
      <c r="A55" s="222" t="s">
        <v>356</v>
      </c>
      <c r="H55" s="223">
        <v>0</v>
      </c>
      <c r="N55" s="239">
        <v>0</v>
      </c>
      <c r="T55" s="239">
        <v>0</v>
      </c>
      <c r="Z55" s="239">
        <v>0</v>
      </c>
      <c r="AF55" s="239">
        <v>0</v>
      </c>
    </row>
    <row r="56" spans="1:32" x14ac:dyDescent="0.3">
      <c r="A56" s="222" t="s">
        <v>357</v>
      </c>
      <c r="H56" s="223">
        <v>0</v>
      </c>
      <c r="N56" s="239">
        <v>0</v>
      </c>
      <c r="T56" s="239">
        <v>0</v>
      </c>
      <c r="Z56" s="239">
        <v>0</v>
      </c>
      <c r="AF56" s="239">
        <v>0</v>
      </c>
    </row>
    <row r="57" spans="1:32" x14ac:dyDescent="0.3">
      <c r="A57" t="s">
        <v>32</v>
      </c>
      <c r="H57" s="215">
        <f>'Other DC'!D26</f>
        <v>0</v>
      </c>
      <c r="N57" s="215">
        <f>'Other DC'!E26</f>
        <v>0</v>
      </c>
      <c r="T57" s="215">
        <f>'Other DC'!F26</f>
        <v>0</v>
      </c>
      <c r="Z57" s="215">
        <f>'Other DC'!G26</f>
        <v>0</v>
      </c>
      <c r="AF57" s="215">
        <f>'Other DC'!H26</f>
        <v>0</v>
      </c>
    </row>
    <row r="58" spans="1:32" x14ac:dyDescent="0.3">
      <c r="G58" s="216" t="s">
        <v>358</v>
      </c>
      <c r="H58" s="219">
        <f>SUM(H50:H57)</f>
        <v>0</v>
      </c>
      <c r="M58" s="216" t="s">
        <v>358</v>
      </c>
      <c r="N58" s="219">
        <f>SUM(N50:N57)</f>
        <v>0</v>
      </c>
      <c r="S58" s="216" t="s">
        <v>358</v>
      </c>
      <c r="T58" s="219">
        <f>SUM(T50:T57)</f>
        <v>0</v>
      </c>
      <c r="Y58" s="216" t="s">
        <v>358</v>
      </c>
      <c r="Z58" s="219">
        <f>SUM(Z50:Z57)</f>
        <v>0</v>
      </c>
      <c r="AE58" s="216" t="s">
        <v>358</v>
      </c>
      <c r="AF58" s="219">
        <f>SUM(AF50:AF57)</f>
        <v>0</v>
      </c>
    </row>
    <row r="60" spans="1:32" x14ac:dyDescent="0.3">
      <c r="A60" s="55" t="s">
        <v>359</v>
      </c>
      <c r="G60" s="216" t="s">
        <v>360</v>
      </c>
      <c r="H60" s="219">
        <f>H58+H46+H37+H31+H21</f>
        <v>0</v>
      </c>
      <c r="M60" s="216" t="s">
        <v>360</v>
      </c>
      <c r="N60" s="219">
        <f>N58+N46+N37+N31+N21</f>
        <v>0</v>
      </c>
      <c r="S60" s="216" t="s">
        <v>360</v>
      </c>
      <c r="T60" s="219">
        <f>T58+T46+T37+T31+T21</f>
        <v>0</v>
      </c>
      <c r="Y60" s="216" t="s">
        <v>360</v>
      </c>
      <c r="Z60" s="219">
        <f>Z58+Z46+Z37+Z31+Z21</f>
        <v>0</v>
      </c>
      <c r="AE60" s="216" t="s">
        <v>360</v>
      </c>
      <c r="AF60" s="219">
        <f>AF58+AF46+AF37+AF31+AF21</f>
        <v>0</v>
      </c>
    </row>
    <row r="62" spans="1:32" x14ac:dyDescent="0.3">
      <c r="A62" s="55" t="s">
        <v>361</v>
      </c>
    </row>
    <row r="64" spans="1:32" x14ac:dyDescent="0.3">
      <c r="A64" t="s">
        <v>362</v>
      </c>
      <c r="B64" s="145" t="str">
        <f>'Sponsor Cost'!A46</f>
        <v>MTDC</v>
      </c>
      <c r="E64" s="2" t="s">
        <v>363</v>
      </c>
      <c r="F64" s="218">
        <f>'Sponsor Cost'!B46</f>
        <v>0</v>
      </c>
      <c r="G64" s="2" t="s">
        <v>284</v>
      </c>
      <c r="H64" s="218">
        <f ca="1">'Sponsor Cost'!B47</f>
        <v>0</v>
      </c>
      <c r="K64" s="2" t="s">
        <v>363</v>
      </c>
      <c r="L64" s="218">
        <f>'Sponsor Cost'!C46</f>
        <v>0</v>
      </c>
      <c r="M64" s="2" t="s">
        <v>284</v>
      </c>
      <c r="N64" s="218">
        <f ca="1">'Sponsor Cost'!C47</f>
        <v>0</v>
      </c>
      <c r="Q64" s="2" t="s">
        <v>363</v>
      </c>
      <c r="R64" s="218">
        <f>'Sponsor Cost'!D46</f>
        <v>0</v>
      </c>
      <c r="S64" s="2" t="s">
        <v>284</v>
      </c>
      <c r="T64" s="218">
        <f ca="1">'Sponsor Cost'!D47</f>
        <v>0</v>
      </c>
      <c r="W64" s="2" t="s">
        <v>363</v>
      </c>
      <c r="X64" s="218">
        <f>'Sponsor Cost'!E46</f>
        <v>0</v>
      </c>
      <c r="Y64" s="2" t="s">
        <v>284</v>
      </c>
      <c r="Z64" s="218">
        <f ca="1">'Sponsor Cost'!E47</f>
        <v>0</v>
      </c>
      <c r="AC64" s="2" t="s">
        <v>363</v>
      </c>
      <c r="AD64" s="218">
        <f>'Sponsor Cost'!F46</f>
        <v>0</v>
      </c>
      <c r="AE64" s="2" t="s">
        <v>284</v>
      </c>
      <c r="AF64" s="218">
        <f ca="1">'Sponsor Cost'!F47</f>
        <v>0</v>
      </c>
    </row>
    <row r="65" spans="1:32" x14ac:dyDescent="0.3">
      <c r="A65" t="s">
        <v>364</v>
      </c>
      <c r="B65" s="224">
        <f ca="1">'Sponsor Cost'!B54</f>
        <v>0.5</v>
      </c>
    </row>
    <row r="66" spans="1:32" x14ac:dyDescent="0.3">
      <c r="G66" s="2" t="s">
        <v>365</v>
      </c>
      <c r="H66" s="219">
        <f ca="1">H64</f>
        <v>0</v>
      </c>
      <c r="M66" s="2" t="s">
        <v>365</v>
      </c>
      <c r="N66" s="219">
        <f ca="1">N64</f>
        <v>0</v>
      </c>
      <c r="S66" s="2" t="s">
        <v>365</v>
      </c>
      <c r="T66" s="219">
        <f ca="1">T64</f>
        <v>0</v>
      </c>
      <c r="Y66" s="2" t="s">
        <v>365</v>
      </c>
      <c r="Z66" s="219">
        <f ca="1">Z64</f>
        <v>0</v>
      </c>
      <c r="AE66" s="2" t="s">
        <v>365</v>
      </c>
      <c r="AF66" s="219">
        <f ca="1">AF64</f>
        <v>0</v>
      </c>
    </row>
    <row r="68" spans="1:32" x14ac:dyDescent="0.3">
      <c r="A68" s="55" t="s">
        <v>366</v>
      </c>
      <c r="H68" s="219">
        <f ca="1">H66+H60</f>
        <v>0</v>
      </c>
      <c r="N68" s="219">
        <f ca="1">N66+N60</f>
        <v>0</v>
      </c>
      <c r="T68" s="219">
        <f ca="1">T66+T60</f>
        <v>0</v>
      </c>
      <c r="Z68" s="219">
        <f ca="1">Z66+Z60</f>
        <v>0</v>
      </c>
      <c r="AF68" s="219">
        <f ca="1">AF66+AF60</f>
        <v>0</v>
      </c>
    </row>
    <row r="70" spans="1:32" x14ac:dyDescent="0.3">
      <c r="A70" s="438" t="s">
        <v>367</v>
      </c>
      <c r="B70" s="428"/>
      <c r="C70" s="428"/>
      <c r="D70" s="428"/>
      <c r="E70" s="439"/>
    </row>
    <row r="71" spans="1:32" x14ac:dyDescent="0.3">
      <c r="A71" s="229"/>
      <c r="E71" s="230"/>
    </row>
    <row r="72" spans="1:32" x14ac:dyDescent="0.3">
      <c r="A72" s="231" t="s">
        <v>368</v>
      </c>
      <c r="E72" s="226">
        <f>H9+N9+T9+Z9+AF9</f>
        <v>0</v>
      </c>
    </row>
    <row r="73" spans="1:32" x14ac:dyDescent="0.3">
      <c r="A73" s="231" t="s">
        <v>369</v>
      </c>
      <c r="E73" s="226">
        <f>H19+N19+T19+Z19+AF19</f>
        <v>0</v>
      </c>
    </row>
    <row r="74" spans="1:32" x14ac:dyDescent="0.3">
      <c r="A74" s="232" t="s">
        <v>339</v>
      </c>
      <c r="D74" s="227">
        <v>0</v>
      </c>
      <c r="E74" s="230"/>
    </row>
    <row r="75" spans="1:32" x14ac:dyDescent="0.3">
      <c r="A75" s="229" t="s">
        <v>341</v>
      </c>
      <c r="E75" s="226">
        <f>H21+N21+T21+Z21+AF21</f>
        <v>0</v>
      </c>
    </row>
    <row r="76" spans="1:32" x14ac:dyDescent="0.3">
      <c r="A76" s="231" t="s">
        <v>370</v>
      </c>
      <c r="E76" s="226">
        <f>H31+N31+T31+Z31+AF31</f>
        <v>0</v>
      </c>
    </row>
    <row r="77" spans="1:32" x14ac:dyDescent="0.3">
      <c r="A77" s="231" t="s">
        <v>371</v>
      </c>
      <c r="E77" s="226">
        <f>H37+N37+T37+Z37+AF37</f>
        <v>0</v>
      </c>
    </row>
    <row r="78" spans="1:32" x14ac:dyDescent="0.3">
      <c r="A78" s="232" t="s">
        <v>23</v>
      </c>
      <c r="D78" s="226">
        <f>H35+N35+T35+Z35+AF35</f>
        <v>0</v>
      </c>
      <c r="E78" s="230"/>
    </row>
    <row r="79" spans="1:32" x14ac:dyDescent="0.3">
      <c r="A79" s="232" t="s">
        <v>24</v>
      </c>
      <c r="D79" s="226">
        <f>H36+N36+T36+Z36+AF36</f>
        <v>0</v>
      </c>
      <c r="E79" s="230"/>
    </row>
    <row r="80" spans="1:32" x14ac:dyDescent="0.3">
      <c r="A80" s="231" t="s">
        <v>372</v>
      </c>
      <c r="E80" s="226">
        <f>H46+N46+T46+Z46+AF46</f>
        <v>0</v>
      </c>
    </row>
    <row r="81" spans="1:5" x14ac:dyDescent="0.3">
      <c r="A81" s="232" t="s">
        <v>196</v>
      </c>
      <c r="D81" s="226">
        <f>H41+N41+T41+Z41+AF41</f>
        <v>0</v>
      </c>
      <c r="E81" s="230"/>
    </row>
    <row r="82" spans="1:5" x14ac:dyDescent="0.3">
      <c r="A82" s="232" t="s">
        <v>197</v>
      </c>
      <c r="D82" s="226">
        <f>H42+N42+T42+Z42+AF42</f>
        <v>0</v>
      </c>
      <c r="E82" s="230"/>
    </row>
    <row r="83" spans="1:5" x14ac:dyDescent="0.3">
      <c r="A83" s="232" t="s">
        <v>198</v>
      </c>
      <c r="D83" s="226">
        <f>H43+N43+T43+Z43+AF43</f>
        <v>0</v>
      </c>
      <c r="E83" s="230"/>
    </row>
    <row r="84" spans="1:5" x14ac:dyDescent="0.3">
      <c r="A84" s="232" t="s">
        <v>199</v>
      </c>
      <c r="D84" s="226">
        <f>H44+N44+T44+Z44+AF44</f>
        <v>0</v>
      </c>
      <c r="E84" s="230"/>
    </row>
    <row r="85" spans="1:5" x14ac:dyDescent="0.3">
      <c r="A85" s="232" t="s">
        <v>32</v>
      </c>
      <c r="D85" s="226">
        <f>H45+N45+T45+Z45+AF45</f>
        <v>0</v>
      </c>
      <c r="E85" s="230"/>
    </row>
    <row r="86" spans="1:5" x14ac:dyDescent="0.3">
      <c r="A86" s="232" t="s">
        <v>350</v>
      </c>
      <c r="D86" s="227">
        <v>0</v>
      </c>
      <c r="E86" s="230"/>
    </row>
    <row r="87" spans="1:5" x14ac:dyDescent="0.3">
      <c r="A87" s="233" t="s">
        <v>373</v>
      </c>
      <c r="E87" s="226">
        <f>H58+N58+T58+Z58+AF58</f>
        <v>0</v>
      </c>
    </row>
    <row r="88" spans="1:5" x14ac:dyDescent="0.3">
      <c r="A88" s="232" t="s">
        <v>66</v>
      </c>
      <c r="D88" s="226">
        <f t="shared" ref="D88:D95" si="0">H50+N50+T50+Z50+AF50</f>
        <v>0</v>
      </c>
      <c r="E88" s="230"/>
    </row>
    <row r="89" spans="1:5" x14ac:dyDescent="0.3">
      <c r="A89" s="232" t="s">
        <v>353</v>
      </c>
      <c r="D89" s="226">
        <f t="shared" si="0"/>
        <v>0</v>
      </c>
      <c r="E89" s="230"/>
    </row>
    <row r="90" spans="1:5" x14ac:dyDescent="0.3">
      <c r="A90" s="232" t="s">
        <v>256</v>
      </c>
      <c r="D90" s="226">
        <f t="shared" si="0"/>
        <v>0</v>
      </c>
      <c r="E90" s="230"/>
    </row>
    <row r="91" spans="1:5" x14ac:dyDescent="0.3">
      <c r="A91" s="232" t="s">
        <v>354</v>
      </c>
      <c r="D91" s="226">
        <f t="shared" si="0"/>
        <v>0</v>
      </c>
      <c r="E91" s="230"/>
    </row>
    <row r="92" spans="1:5" x14ac:dyDescent="0.3">
      <c r="A92" s="232" t="s">
        <v>355</v>
      </c>
      <c r="D92" s="226">
        <f t="shared" si="0"/>
        <v>0</v>
      </c>
      <c r="E92" s="230"/>
    </row>
    <row r="93" spans="1:5" x14ac:dyDescent="0.3">
      <c r="A93" s="232" t="s">
        <v>356</v>
      </c>
      <c r="D93" s="226">
        <f t="shared" si="0"/>
        <v>0</v>
      </c>
      <c r="E93" s="230"/>
    </row>
    <row r="94" spans="1:5" x14ac:dyDescent="0.3">
      <c r="A94" s="232" t="s">
        <v>357</v>
      </c>
      <c r="D94" s="226">
        <f t="shared" si="0"/>
        <v>0</v>
      </c>
      <c r="E94" s="230"/>
    </row>
    <row r="95" spans="1:5" x14ac:dyDescent="0.3">
      <c r="A95" s="232" t="s">
        <v>32</v>
      </c>
      <c r="D95" s="226">
        <f t="shared" si="0"/>
        <v>0</v>
      </c>
      <c r="E95" s="230"/>
    </row>
    <row r="96" spans="1:5" x14ac:dyDescent="0.3">
      <c r="A96" s="233" t="s">
        <v>374</v>
      </c>
      <c r="E96" s="226">
        <f>H60+N60+T60+Z60+AF60</f>
        <v>0</v>
      </c>
    </row>
    <row r="97" spans="1:5" x14ac:dyDescent="0.3">
      <c r="A97" s="233" t="s">
        <v>375</v>
      </c>
      <c r="E97" s="226">
        <f ca="1">H66+N66+T66+Z66+AF66</f>
        <v>0</v>
      </c>
    </row>
    <row r="98" spans="1:5" x14ac:dyDescent="0.3">
      <c r="A98" s="233" t="s">
        <v>376</v>
      </c>
      <c r="E98" s="226">
        <f ca="1">H68+N68+T68+Z68+AF68</f>
        <v>0</v>
      </c>
    </row>
    <row r="99" spans="1:5" x14ac:dyDescent="0.3">
      <c r="A99" s="233" t="s">
        <v>377</v>
      </c>
      <c r="E99" s="228">
        <v>0</v>
      </c>
    </row>
    <row r="100" spans="1:5" x14ac:dyDescent="0.3">
      <c r="A100" s="233" t="s">
        <v>378</v>
      </c>
      <c r="E100" s="226">
        <f ca="1">E99+E98</f>
        <v>0</v>
      </c>
    </row>
    <row r="101" spans="1:5" x14ac:dyDescent="0.3">
      <c r="A101" s="234"/>
      <c r="B101" s="235"/>
      <c r="C101" s="235"/>
      <c r="D101" s="235"/>
      <c r="E101" s="236"/>
    </row>
  </sheetData>
  <mergeCells count="6">
    <mergeCell ref="A70:E70"/>
    <mergeCell ref="C2:H2"/>
    <mergeCell ref="V2:Z2"/>
    <mergeCell ref="AB2:AF2"/>
    <mergeCell ref="J2:N2"/>
    <mergeCell ref="P2:T2"/>
  </mergeCells>
  <pageMargins left="0.7" right="0.7" top="0.75" bottom="0.75" header="0.3" footer="0.3"/>
  <pageSetup orientation="portrai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78"/>
  <sheetViews>
    <sheetView topLeftCell="A43" zoomScale="110" zoomScaleNormal="110" workbookViewId="0">
      <selection activeCell="A5" sqref="A5"/>
    </sheetView>
  </sheetViews>
  <sheetFormatPr defaultColWidth="9.109375" defaultRowHeight="14.4" x14ac:dyDescent="0.3"/>
  <cols>
    <col min="1" max="1" width="52.6640625" bestFit="1" customWidth="1"/>
    <col min="2" max="2" width="16" bestFit="1" customWidth="1"/>
    <col min="3" max="4" width="15.44140625" customWidth="1"/>
    <col min="5" max="5" width="16.109375" bestFit="1" customWidth="1"/>
    <col min="6" max="6" width="15.44140625" customWidth="1"/>
    <col min="7" max="7" width="16.6640625" bestFit="1" customWidth="1"/>
    <col min="8" max="8" width="9.44140625" bestFit="1" customWidth="1"/>
    <col min="9" max="9" width="18.44140625" bestFit="1" customWidth="1"/>
  </cols>
  <sheetData>
    <row r="1" spans="1:9" ht="64.95" customHeight="1" x14ac:dyDescent="0.3">
      <c r="B1" s="441" t="s">
        <v>379</v>
      </c>
      <c r="C1" s="395"/>
      <c r="D1" s="395"/>
      <c r="E1" s="395"/>
      <c r="F1" s="395"/>
      <c r="G1" s="395"/>
    </row>
    <row r="2" spans="1:9" ht="18" customHeight="1" x14ac:dyDescent="0.35">
      <c r="A2" s="65" t="s">
        <v>36</v>
      </c>
      <c r="B2" s="283">
        <f>'Sponsor Cost'!B2</f>
        <v>0</v>
      </c>
      <c r="C2" s="284"/>
      <c r="D2" s="284"/>
      <c r="E2" s="284"/>
      <c r="F2" s="284"/>
      <c r="G2" s="284"/>
    </row>
    <row r="3" spans="1:9" ht="32.25" customHeight="1" x14ac:dyDescent="0.35">
      <c r="A3" s="66" t="s">
        <v>37</v>
      </c>
      <c r="B3" s="283">
        <f>'Sponsor Cost'!B3</f>
        <v>0</v>
      </c>
      <c r="C3" s="284"/>
      <c r="D3" s="284"/>
      <c r="E3" s="284"/>
      <c r="F3" s="284"/>
      <c r="G3" s="284"/>
    </row>
    <row r="4" spans="1:9" ht="18.75" customHeight="1" x14ac:dyDescent="0.35">
      <c r="A4" s="66" t="s">
        <v>38</v>
      </c>
      <c r="B4" s="283">
        <f>'Sponsor Cost'!B4</f>
        <v>0</v>
      </c>
      <c r="C4" s="284"/>
      <c r="D4" s="284"/>
      <c r="E4" s="284"/>
      <c r="F4" s="284"/>
      <c r="G4" s="284"/>
    </row>
    <row r="5" spans="1:9" ht="18.75" customHeight="1" x14ac:dyDescent="0.35">
      <c r="A5" s="66" t="s">
        <v>39</v>
      </c>
      <c r="B5" s="283">
        <f>'Sponsor Cost'!B5</f>
        <v>0</v>
      </c>
      <c r="C5" s="284"/>
      <c r="D5" s="284"/>
      <c r="E5" s="284"/>
      <c r="F5" s="284"/>
      <c r="G5" s="284"/>
    </row>
    <row r="6" spans="1:9" ht="18" customHeight="1" x14ac:dyDescent="0.35">
      <c r="A6" s="67" t="s">
        <v>40</v>
      </c>
      <c r="B6" s="68" t="s">
        <v>41</v>
      </c>
      <c r="C6" s="133">
        <f>'Sponsor Cost'!C6</f>
        <v>0</v>
      </c>
      <c r="D6" s="68" t="s">
        <v>42</v>
      </c>
      <c r="E6" s="133">
        <f>'Sponsor Cost'!E6</f>
        <v>0</v>
      </c>
      <c r="F6" s="69"/>
      <c r="G6" s="69"/>
    </row>
    <row r="7" spans="1:9" ht="18" customHeight="1" x14ac:dyDescent="0.35">
      <c r="A7" s="67" t="s">
        <v>99</v>
      </c>
      <c r="B7" s="148">
        <f>'Sponsor Cost'!C7</f>
        <v>0</v>
      </c>
    </row>
    <row r="8" spans="1:9" ht="18" customHeight="1" x14ac:dyDescent="0.35">
      <c r="A8" s="67"/>
      <c r="B8" s="2"/>
      <c r="I8" t="s">
        <v>380</v>
      </c>
    </row>
    <row r="9" spans="1:9" ht="18" customHeight="1" x14ac:dyDescent="0.35">
      <c r="A9" s="70" t="s">
        <v>44</v>
      </c>
      <c r="B9" s="71" t="s">
        <v>45</v>
      </c>
      <c r="C9" s="71" t="s">
        <v>46</v>
      </c>
      <c r="D9" s="71" t="s">
        <v>47</v>
      </c>
      <c r="E9" s="71" t="s">
        <v>48</v>
      </c>
      <c r="F9" s="71" t="s">
        <v>49</v>
      </c>
      <c r="G9" s="71" t="s">
        <v>50</v>
      </c>
    </row>
    <row r="10" spans="1:9" ht="18" customHeight="1" x14ac:dyDescent="0.35">
      <c r="A10" s="112" t="s">
        <v>41</v>
      </c>
      <c r="B10" s="114">
        <f>C6</f>
        <v>0</v>
      </c>
      <c r="C10" s="114">
        <f>EDATE(B10,12)</f>
        <v>366</v>
      </c>
      <c r="D10" s="114">
        <f>EDATE(C10,12)</f>
        <v>731</v>
      </c>
      <c r="E10" s="114">
        <f>EDATE(D10,12)</f>
        <v>1096</v>
      </c>
      <c r="F10" s="114">
        <f>EDATE(E10,12)</f>
        <v>1461</v>
      </c>
      <c r="G10" s="74"/>
    </row>
    <row r="11" spans="1:9" ht="18" customHeight="1" x14ac:dyDescent="0.35">
      <c r="A11" s="112" t="s">
        <v>42</v>
      </c>
      <c r="B11" s="114">
        <f>C10-1</f>
        <v>365</v>
      </c>
      <c r="C11" s="114">
        <f>D10-1</f>
        <v>730</v>
      </c>
      <c r="D11" s="114">
        <f>E10-1</f>
        <v>1095</v>
      </c>
      <c r="E11" s="114">
        <f>F10-1</f>
        <v>1460</v>
      </c>
      <c r="F11" s="114">
        <f>EDATE(F10,12)-1</f>
        <v>1826</v>
      </c>
      <c r="G11" s="73"/>
    </row>
    <row r="12" spans="1:9" ht="18" customHeight="1" x14ac:dyDescent="0.35">
      <c r="A12" s="72" t="s">
        <v>51</v>
      </c>
      <c r="B12" s="75"/>
      <c r="C12" s="75"/>
      <c r="D12" s="75"/>
      <c r="E12" s="75"/>
      <c r="F12" s="75"/>
      <c r="G12" s="73"/>
    </row>
    <row r="13" spans="1:9" ht="18" customHeight="1" x14ac:dyDescent="0.35">
      <c r="A13" s="76" t="s">
        <v>104</v>
      </c>
      <c r="B13" s="186">
        <f>ROUND('Labor Detail'!B36,0)</f>
        <v>0</v>
      </c>
      <c r="C13" s="186">
        <f>ROUND('Labor Detail'!C36,0)</f>
        <v>0</v>
      </c>
      <c r="D13" s="186">
        <f>ROUND('Labor Detail'!D36,0)</f>
        <v>0</v>
      </c>
      <c r="E13" s="186">
        <f>ROUND('Labor Detail'!E36,0)</f>
        <v>0</v>
      </c>
      <c r="F13" s="186">
        <f>ROUND('Labor Detail'!F36,0)</f>
        <v>0</v>
      </c>
      <c r="G13" s="78">
        <f>ROUND(SUM(B13:F13),0)</f>
        <v>0</v>
      </c>
    </row>
    <row r="14" spans="1:9" ht="18" customHeight="1" x14ac:dyDescent="0.35">
      <c r="A14" s="76" t="s">
        <v>53</v>
      </c>
      <c r="B14" s="77">
        <f>ROUND('Labor Detail'!B45,0)</f>
        <v>0</v>
      </c>
      <c r="C14" s="77">
        <f>ROUND('Labor Detail'!C45,0)</f>
        <v>0</v>
      </c>
      <c r="D14" s="77">
        <f>ROUND('Labor Detail'!D45,0)</f>
        <v>0</v>
      </c>
      <c r="E14" s="77">
        <f>ROUND('Labor Detail'!E45,0)</f>
        <v>0</v>
      </c>
      <c r="F14" s="77">
        <f>ROUND('Labor Detail'!F45,0)</f>
        <v>0</v>
      </c>
      <c r="G14" s="78">
        <f>ROUND(SUM(B14:F14),0)</f>
        <v>0</v>
      </c>
    </row>
    <row r="15" spans="1:9" ht="18" customHeight="1" x14ac:dyDescent="0.35">
      <c r="A15" s="76" t="s">
        <v>54</v>
      </c>
      <c r="B15" s="77">
        <f>ROUND('Labor Detail'!B53,0)</f>
        <v>0</v>
      </c>
      <c r="C15" s="77">
        <f>ROUND('Labor Detail'!C53,0)</f>
        <v>0</v>
      </c>
      <c r="D15" s="77">
        <f>ROUND('Labor Detail'!D53,0)</f>
        <v>0</v>
      </c>
      <c r="E15" s="77">
        <f>ROUND('Labor Detail'!E53,0)</f>
        <v>0</v>
      </c>
      <c r="F15" s="77">
        <f>ROUND('Labor Detail'!F53,0)</f>
        <v>0</v>
      </c>
      <c r="G15" s="78">
        <f>ROUND(SUM(B15:F15),0)</f>
        <v>0</v>
      </c>
    </row>
    <row r="16" spans="1:9" ht="18" customHeight="1" x14ac:dyDescent="0.35">
      <c r="A16" s="76" t="s">
        <v>55</v>
      </c>
      <c r="B16" s="77">
        <f>ROUND('Labor Detail'!B61,0)</f>
        <v>0</v>
      </c>
      <c r="C16" s="77">
        <f>ROUND('Labor Detail'!C61,0)</f>
        <v>0</v>
      </c>
      <c r="D16" s="77">
        <f>ROUND('Labor Detail'!D61,0)</f>
        <v>0</v>
      </c>
      <c r="E16" s="77">
        <f>ROUND('Labor Detail'!E61,0)</f>
        <v>0</v>
      </c>
      <c r="F16" s="77">
        <f>ROUND('Labor Detail'!F61,0)</f>
        <v>0</v>
      </c>
      <c r="G16" s="78">
        <f>ROUND(SUM(B16:F16),0)</f>
        <v>0</v>
      </c>
    </row>
    <row r="17" spans="1:7" ht="18" customHeight="1" x14ac:dyDescent="0.35">
      <c r="A17" s="76" t="s">
        <v>105</v>
      </c>
      <c r="B17" s="77">
        <f>ROUND('Labor Detail'!B69,0)</f>
        <v>0</v>
      </c>
      <c r="C17" s="77">
        <f>ROUND('Labor Detail'!C69,0)</f>
        <v>0</v>
      </c>
      <c r="D17" s="77">
        <f>ROUND('Labor Detail'!D69,0)</f>
        <v>0</v>
      </c>
      <c r="E17" s="77">
        <f>ROUND('Labor Detail'!E69,0)</f>
        <v>0</v>
      </c>
      <c r="F17" s="77">
        <f>ROUND('Labor Detail'!F69,0)</f>
        <v>0</v>
      </c>
      <c r="G17" s="78">
        <f>ROUND(SUM(B17:F17),0)</f>
        <v>0</v>
      </c>
    </row>
    <row r="18" spans="1:7" ht="18.600000000000001" customHeight="1" thickBot="1" x14ac:dyDescent="0.4">
      <c r="A18" s="79" t="s">
        <v>57</v>
      </c>
      <c r="B18" s="80">
        <f t="shared" ref="B18:G18" si="0">ROUND(SUM(B13:B17),0)</f>
        <v>0</v>
      </c>
      <c r="C18" s="80">
        <f t="shared" si="0"/>
        <v>0</v>
      </c>
      <c r="D18" s="80">
        <f t="shared" si="0"/>
        <v>0</v>
      </c>
      <c r="E18" s="80">
        <f t="shared" si="0"/>
        <v>0</v>
      </c>
      <c r="F18" s="80">
        <f t="shared" si="0"/>
        <v>0</v>
      </c>
      <c r="G18" s="80">
        <f t="shared" si="0"/>
        <v>0</v>
      </c>
    </row>
    <row r="19" spans="1:7" ht="18.600000000000001" customHeight="1" thickTop="1" x14ac:dyDescent="0.35">
      <c r="A19" s="72"/>
      <c r="B19" s="78"/>
      <c r="C19" s="78"/>
      <c r="D19" s="78"/>
      <c r="E19" s="78"/>
      <c r="F19" s="78"/>
      <c r="G19" s="78"/>
    </row>
    <row r="20" spans="1:7" ht="18" customHeight="1" x14ac:dyDescent="0.35">
      <c r="A20" s="65" t="s">
        <v>58</v>
      </c>
      <c r="B20" s="77"/>
      <c r="C20" s="77"/>
      <c r="D20" s="77"/>
      <c r="E20" s="77"/>
      <c r="F20" s="77"/>
      <c r="G20" s="78"/>
    </row>
    <row r="21" spans="1:7" ht="18" customHeight="1" x14ac:dyDescent="0.35">
      <c r="A21" s="76" t="s">
        <v>104</v>
      </c>
      <c r="B21" s="77">
        <f>ROUND('Labor Detail'!H36,0)</f>
        <v>0</v>
      </c>
      <c r="C21" s="77">
        <f>ROUND('Labor Detail'!I36,0)</f>
        <v>0</v>
      </c>
      <c r="D21" s="77">
        <f>ROUND('Labor Detail'!J36,0)</f>
        <v>0</v>
      </c>
      <c r="E21" s="77">
        <f>ROUND('Labor Detail'!K36,0)</f>
        <v>0</v>
      </c>
      <c r="F21" s="77">
        <f>ROUND('Labor Detail'!L36,0)</f>
        <v>0</v>
      </c>
      <c r="G21" s="78">
        <f>ROUND(SUM(B21:F21),0)</f>
        <v>0</v>
      </c>
    </row>
    <row r="22" spans="1:7" ht="18" customHeight="1" x14ac:dyDescent="0.35">
      <c r="A22" s="76" t="s">
        <v>53</v>
      </c>
      <c r="B22" s="77">
        <f>ROUND('Labor Detail'!H45,0)</f>
        <v>0</v>
      </c>
      <c r="C22" s="77">
        <f>ROUND('Labor Detail'!I45,0)</f>
        <v>0</v>
      </c>
      <c r="D22" s="77">
        <f>ROUND('Labor Detail'!J45,0)</f>
        <v>0</v>
      </c>
      <c r="E22" s="77">
        <f>ROUND('Labor Detail'!K45,0)</f>
        <v>0</v>
      </c>
      <c r="F22" s="77">
        <f>ROUND('Labor Detail'!L45,0)</f>
        <v>0</v>
      </c>
      <c r="G22" s="78">
        <f>ROUND(SUM(B22:F22),0)</f>
        <v>0</v>
      </c>
    </row>
    <row r="23" spans="1:7" ht="18" customHeight="1" x14ac:dyDescent="0.35">
      <c r="A23" s="76" t="s">
        <v>54</v>
      </c>
      <c r="B23" s="77">
        <f>ROUND('Labor Detail'!H53,0)</f>
        <v>0</v>
      </c>
      <c r="C23" s="77">
        <f>ROUND('Labor Detail'!I53,0)</f>
        <v>0</v>
      </c>
      <c r="D23" s="77">
        <f>ROUND('Labor Detail'!J53,0)</f>
        <v>0</v>
      </c>
      <c r="E23" s="77">
        <f>ROUND('Labor Detail'!K53,0)</f>
        <v>0</v>
      </c>
      <c r="F23" s="77">
        <f>ROUND('Labor Detail'!L53,0)</f>
        <v>0</v>
      </c>
      <c r="G23" s="78">
        <f>ROUND(SUM(B23:F23),0)</f>
        <v>0</v>
      </c>
    </row>
    <row r="24" spans="1:7" ht="18" customHeight="1" x14ac:dyDescent="0.35">
      <c r="A24" s="76" t="s">
        <v>59</v>
      </c>
      <c r="B24" s="77">
        <f>ROUND('Labor Detail'!H61,0)</f>
        <v>0</v>
      </c>
      <c r="C24" s="77">
        <f>ROUND('Labor Detail'!I61,0)</f>
        <v>0</v>
      </c>
      <c r="D24" s="77">
        <f>ROUND('Labor Detail'!J61,0)</f>
        <v>0</v>
      </c>
      <c r="E24" s="77">
        <f>ROUND('Labor Detail'!K61,0)</f>
        <v>0</v>
      </c>
      <c r="F24" s="77">
        <f>ROUND('Labor Detail'!L61,0)</f>
        <v>0</v>
      </c>
      <c r="G24" s="78">
        <f>ROUND(SUM(B24:F24),0)</f>
        <v>0</v>
      </c>
    </row>
    <row r="25" spans="1:7" ht="18" customHeight="1" x14ac:dyDescent="0.35">
      <c r="A25" s="76" t="s">
        <v>105</v>
      </c>
      <c r="B25" s="77">
        <f>ROUND('Labor Detail'!H69,0)</f>
        <v>0</v>
      </c>
      <c r="C25" s="77">
        <f>ROUND('Labor Detail'!I69,0)</f>
        <v>0</v>
      </c>
      <c r="D25" s="77">
        <f>ROUND('Labor Detail'!J69,0)</f>
        <v>0</v>
      </c>
      <c r="E25" s="77">
        <f>ROUND('Labor Detail'!K69,0)</f>
        <v>0</v>
      </c>
      <c r="F25" s="77">
        <f>ROUND('Labor Detail'!L69,0)</f>
        <v>0</v>
      </c>
      <c r="G25" s="78">
        <f>ROUND(SUM(B25:F25),0)</f>
        <v>0</v>
      </c>
    </row>
    <row r="26" spans="1:7" ht="18.600000000000001" customHeight="1" thickBot="1" x14ac:dyDescent="0.4">
      <c r="A26" s="79" t="s">
        <v>60</v>
      </c>
      <c r="B26" s="80">
        <f t="shared" ref="B26:G26" si="1">ROUND(SUM(B21:B25),0)</f>
        <v>0</v>
      </c>
      <c r="C26" s="80">
        <f t="shared" si="1"/>
        <v>0</v>
      </c>
      <c r="D26" s="80">
        <f t="shared" si="1"/>
        <v>0</v>
      </c>
      <c r="E26" s="80">
        <f t="shared" si="1"/>
        <v>0</v>
      </c>
      <c r="F26" s="80">
        <f t="shared" si="1"/>
        <v>0</v>
      </c>
      <c r="G26" s="80">
        <f t="shared" si="1"/>
        <v>0</v>
      </c>
    </row>
    <row r="27" spans="1:7" ht="12" customHeight="1" thickTop="1" x14ac:dyDescent="0.35">
      <c r="A27" s="72"/>
      <c r="B27" s="78"/>
      <c r="C27" s="78"/>
      <c r="D27" s="78"/>
      <c r="E27" s="78"/>
      <c r="F27" s="78"/>
      <c r="G27" s="78"/>
    </row>
    <row r="28" spans="1:7" ht="18" customHeight="1" x14ac:dyDescent="0.35">
      <c r="A28" s="72" t="s">
        <v>61</v>
      </c>
      <c r="B28" s="77"/>
      <c r="C28" s="77"/>
      <c r="D28" s="77"/>
      <c r="E28" s="77"/>
      <c r="F28" s="77"/>
      <c r="G28" s="78"/>
    </row>
    <row r="29" spans="1:7" ht="18" customHeight="1" x14ac:dyDescent="0.35">
      <c r="A29" s="81" t="s">
        <v>62</v>
      </c>
      <c r="B29" s="82">
        <f>ROUND(Equipment!D26-Equipment!D40,0)</f>
        <v>0</v>
      </c>
      <c r="C29" s="82">
        <f>ROUND(Equipment!E26-Equipment!E40,0)</f>
        <v>0</v>
      </c>
      <c r="D29" s="82">
        <f>ROUND(Equipment!F26-Equipment!F40,0)</f>
        <v>0</v>
      </c>
      <c r="E29" s="82">
        <f>ROUND(Equipment!G26-Equipment!G40,0)</f>
        <v>0</v>
      </c>
      <c r="F29" s="82">
        <f>ROUND(Equipment!H26-Equipment!H40,0)</f>
        <v>0</v>
      </c>
      <c r="G29" s="78">
        <f t="shared" ref="G29:G43" si="2">ROUND(SUM(B29:F29),0)</f>
        <v>0</v>
      </c>
    </row>
    <row r="30" spans="1:7" ht="18" customHeight="1" x14ac:dyDescent="0.35">
      <c r="A30" s="81" t="s">
        <v>63</v>
      </c>
      <c r="B30" s="82">
        <f>ROUND(Travel!E16-Travel!E19,0)</f>
        <v>0</v>
      </c>
      <c r="C30" s="82">
        <f>ROUND(Travel!F16-Travel!F19,0)</f>
        <v>0</v>
      </c>
      <c r="D30" s="82">
        <f>ROUND(Travel!G16-Travel!G19,0)</f>
        <v>0</v>
      </c>
      <c r="E30" s="82">
        <f>ROUND(Travel!H16-Travel!H19,0)</f>
        <v>0</v>
      </c>
      <c r="F30" s="82">
        <f>ROUND(Travel!I16-Travel!I19,0)</f>
        <v>0</v>
      </c>
      <c r="G30" s="78">
        <f t="shared" si="2"/>
        <v>0</v>
      </c>
    </row>
    <row r="31" spans="1:7" ht="18" customHeight="1" x14ac:dyDescent="0.35">
      <c r="A31" s="124" t="s">
        <v>23</v>
      </c>
      <c r="B31" s="125">
        <f>ROUND(Travel!E17,0)</f>
        <v>0</v>
      </c>
      <c r="C31" s="125">
        <f>ROUND(Travel!F17,0)</f>
        <v>0</v>
      </c>
      <c r="D31" s="125">
        <f>ROUND(Travel!G17,0)</f>
        <v>0</v>
      </c>
      <c r="E31" s="125">
        <f>ROUND(Travel!H17,0)</f>
        <v>0</v>
      </c>
      <c r="F31" s="125">
        <f>ROUND(Travel!I17,0)</f>
        <v>0</v>
      </c>
      <c r="G31" s="78">
        <f t="shared" si="2"/>
        <v>0</v>
      </c>
    </row>
    <row r="32" spans="1:7" ht="18" customHeight="1" x14ac:dyDescent="0.35">
      <c r="A32" s="124" t="s">
        <v>64</v>
      </c>
      <c r="B32" s="125">
        <f>ROUND(Travel!E18,0)</f>
        <v>0</v>
      </c>
      <c r="C32" s="125">
        <f>ROUND(Travel!F18,0)</f>
        <v>0</v>
      </c>
      <c r="D32" s="125">
        <f>ROUND(Travel!G18,0)</f>
        <v>0</v>
      </c>
      <c r="E32" s="125">
        <f>ROUND(Travel!H18,0)</f>
        <v>0</v>
      </c>
      <c r="F32" s="125">
        <f>ROUND(Travel!I18,0)</f>
        <v>0</v>
      </c>
      <c r="G32" s="78">
        <f t="shared" si="2"/>
        <v>0</v>
      </c>
    </row>
    <row r="33" spans="1:10" ht="18" customHeight="1" x14ac:dyDescent="0.35">
      <c r="A33" s="76" t="s">
        <v>65</v>
      </c>
      <c r="B33" s="82">
        <f>ROUND(Honorarium!D26-Honorarium!D40,0)</f>
        <v>0</v>
      </c>
      <c r="C33" s="82">
        <f>ROUND(Honorarium!E26-Honorarium!E40,0)</f>
        <v>0</v>
      </c>
      <c r="D33" s="82">
        <f>ROUND(Honorarium!F26-Honorarium!F40,0)</f>
        <v>0</v>
      </c>
      <c r="E33" s="82">
        <f>ROUND(Honorarium!G26-Honorarium!G40,0)</f>
        <v>0</v>
      </c>
      <c r="F33" s="82">
        <f>ROUND(Honorarium!H26-Honorarium!H40,0)</f>
        <v>0</v>
      </c>
      <c r="G33" s="78">
        <f t="shared" si="2"/>
        <v>0</v>
      </c>
    </row>
    <row r="34" spans="1:10" ht="18" customHeight="1" x14ac:dyDescent="0.35">
      <c r="A34" s="76" t="s">
        <v>66</v>
      </c>
      <c r="B34" s="82">
        <f>ROUND(Materials!D26-Materials!D40,0)</f>
        <v>0</v>
      </c>
      <c r="C34" s="82">
        <f>ROUND(Materials!E26-Materials!E40,0)</f>
        <v>0</v>
      </c>
      <c r="D34" s="82">
        <f>ROUND(Materials!F26-Materials!F40,0)</f>
        <v>0</v>
      </c>
      <c r="E34" s="82">
        <f>ROUND(Materials!G26-Materials!G40,0)</f>
        <v>0</v>
      </c>
      <c r="F34" s="82">
        <f>ROUND(Materials!H26-Materials!H40,0)</f>
        <v>0</v>
      </c>
      <c r="G34" s="78">
        <f t="shared" si="2"/>
        <v>0</v>
      </c>
      <c r="I34" s="346"/>
      <c r="J34" s="347"/>
    </row>
    <row r="35" spans="1:10" ht="18" customHeight="1" x14ac:dyDescent="0.35">
      <c r="A35" s="76" t="s">
        <v>107</v>
      </c>
      <c r="B35" s="82">
        <f>ROUND(Services_Consulting!D26-Services_Consulting!D40,0)</f>
        <v>0</v>
      </c>
      <c r="C35" s="82">
        <f>ROUND(Services_Consulting!E26-Services_Consulting!E40,0)</f>
        <v>0</v>
      </c>
      <c r="D35" s="82">
        <f>ROUND(Services_Consulting!F26-Services_Consulting!F40,0)</f>
        <v>0</v>
      </c>
      <c r="E35" s="82">
        <f>ROUND(Services_Consulting!G26-Services_Consulting!G40,0)</f>
        <v>0</v>
      </c>
      <c r="F35" s="82">
        <f>ROUND(Services_Consulting!H26-Services_Consulting!H40,0)</f>
        <v>0</v>
      </c>
      <c r="G35" s="78">
        <f t="shared" si="2"/>
        <v>0</v>
      </c>
    </row>
    <row r="36" spans="1:10" ht="18" customHeight="1" x14ac:dyDescent="0.35">
      <c r="A36" s="76" t="s">
        <v>68</v>
      </c>
      <c r="B36" s="82">
        <f>ROUND('Participant Costs'!D26-'Participant Costs'!D40,0)</f>
        <v>0</v>
      </c>
      <c r="C36" s="82">
        <f>ROUND('Participant Costs'!E26-'Participant Costs'!E40,0)</f>
        <v>0</v>
      </c>
      <c r="D36" s="82">
        <f>ROUND('Participant Costs'!F26-'Participant Costs'!F40,0)</f>
        <v>0</v>
      </c>
      <c r="E36" s="82">
        <f>ROUND('Participant Costs'!G26-'Participant Costs'!G40,0)</f>
        <v>0</v>
      </c>
      <c r="F36" s="82">
        <f>ROUND('Participant Costs'!H26-'Participant Costs'!H40,0)</f>
        <v>0</v>
      </c>
      <c r="G36" s="78">
        <f t="shared" si="2"/>
        <v>0</v>
      </c>
    </row>
    <row r="37" spans="1:10" ht="18" customHeight="1" x14ac:dyDescent="0.35">
      <c r="A37" s="83" t="s">
        <v>69</v>
      </c>
      <c r="B37" s="108">
        <f>ROUND(Tuition!D26-Tuition!D40,0)</f>
        <v>0</v>
      </c>
      <c r="C37" s="108">
        <f>ROUND(Tuition!E26-Tuition!E40,0)</f>
        <v>0</v>
      </c>
      <c r="D37" s="108">
        <f>ROUND(Tuition!F26-Tuition!F40,0)</f>
        <v>0</v>
      </c>
      <c r="E37" s="108">
        <f>ROUND(Tuition!G26-Tuition!G40,0)</f>
        <v>0</v>
      </c>
      <c r="F37" s="108">
        <f>ROUND(Tuition!H26-Tuition!H40,0)</f>
        <v>0</v>
      </c>
      <c r="G37" s="78">
        <f t="shared" si="2"/>
        <v>0</v>
      </c>
    </row>
    <row r="38" spans="1:10" ht="18" customHeight="1" x14ac:dyDescent="0.35">
      <c r="A38" s="76" t="s">
        <v>61</v>
      </c>
      <c r="B38" s="82">
        <f>ROUND('Other DC'!D26-'Other DC'!D40,0)</f>
        <v>0</v>
      </c>
      <c r="C38" s="82">
        <f>ROUND('Other DC'!E26-'Other DC'!E40,0)</f>
        <v>0</v>
      </c>
      <c r="D38" s="82">
        <f>ROUND('Other DC'!F26-'Other DC'!F40,0)</f>
        <v>0</v>
      </c>
      <c r="E38" s="82">
        <f>ROUND('Other DC'!G26-'Other DC'!G40,0)</f>
        <v>0</v>
      </c>
      <c r="F38" s="82">
        <f>ROUND('Other DC'!H26-'Other DC'!H40,0)</f>
        <v>0</v>
      </c>
      <c r="G38" s="78">
        <f t="shared" si="2"/>
        <v>0</v>
      </c>
    </row>
    <row r="39" spans="1:10" ht="18" customHeight="1" x14ac:dyDescent="0.35">
      <c r="A39" s="84" t="s">
        <v>70</v>
      </c>
      <c r="B39" s="85">
        <f>ROUND(SUM(B29:B38)-B31-B32,0)</f>
        <v>0</v>
      </c>
      <c r="C39" s="85">
        <f>ROUND(SUM(C29:C38)-C31-C32,0)</f>
        <v>0</v>
      </c>
      <c r="D39" s="85">
        <f>ROUND(SUM(D29:D38)-D31-D32,0)</f>
        <v>0</v>
      </c>
      <c r="E39" s="85">
        <f>ROUND(SUM(E29:E38)-E31-E32,0)</f>
        <v>0</v>
      </c>
      <c r="F39" s="85">
        <f>ROUND(SUM(F29:F38)-F31-F32,0)</f>
        <v>0</v>
      </c>
      <c r="G39" s="85">
        <f t="shared" si="2"/>
        <v>0</v>
      </c>
    </row>
    <row r="40" spans="1:10" ht="18.600000000000001" customHeight="1" thickBot="1" x14ac:dyDescent="0.4">
      <c r="A40" s="56" t="s">
        <v>71</v>
      </c>
      <c r="B40" s="86">
        <f>ROUND(B39+B26+B18,0)</f>
        <v>0</v>
      </c>
      <c r="C40" s="86">
        <f>ROUND(C39+C26+C18,0)</f>
        <v>0</v>
      </c>
      <c r="D40" s="86">
        <f>ROUND(D39+D26+D18,0)</f>
        <v>0</v>
      </c>
      <c r="E40" s="86">
        <f>ROUND(E39+E26+E18,0)</f>
        <v>0</v>
      </c>
      <c r="F40" s="86">
        <f>ROUND(F39+F26+F18,0)</f>
        <v>0</v>
      </c>
      <c r="G40" s="86">
        <f t="shared" si="2"/>
        <v>0</v>
      </c>
    </row>
    <row r="41" spans="1:10" ht="18.600000000000001" customHeight="1" thickTop="1" x14ac:dyDescent="0.35">
      <c r="A41" s="87" t="s">
        <v>72</v>
      </c>
      <c r="B41" s="77">
        <f>ROUND(Subcontracts!D39,0)</f>
        <v>0</v>
      </c>
      <c r="C41" s="77">
        <f>ROUND(Subcontracts!E39,0)</f>
        <v>0</v>
      </c>
      <c r="D41" s="77">
        <f>ROUND(Subcontracts!F39,0)</f>
        <v>0</v>
      </c>
      <c r="E41" s="77">
        <f>ROUND(Subcontracts!G39,0)</f>
        <v>0</v>
      </c>
      <c r="F41" s="77">
        <f>ROUND(Subcontracts!H39,0)</f>
        <v>0</v>
      </c>
      <c r="G41" s="78">
        <f t="shared" si="2"/>
        <v>0</v>
      </c>
    </row>
    <row r="42" spans="1:10" ht="18" customHeight="1" x14ac:dyDescent="0.35">
      <c r="A42" s="87" t="s">
        <v>73</v>
      </c>
      <c r="B42" s="77">
        <f>ROUND(Subcontracts!D40,0)</f>
        <v>0</v>
      </c>
      <c r="C42" s="77">
        <f>ROUND(Subcontracts!E40,0)</f>
        <v>0</v>
      </c>
      <c r="D42" s="77">
        <f>ROUND(Subcontracts!F40,0)</f>
        <v>0</v>
      </c>
      <c r="E42" s="77">
        <f>ROUND(Subcontracts!G40,0)</f>
        <v>0</v>
      </c>
      <c r="F42" s="77">
        <f>ROUND(Subcontracts!H40,0)</f>
        <v>0</v>
      </c>
      <c r="G42" s="78">
        <f t="shared" si="2"/>
        <v>0</v>
      </c>
    </row>
    <row r="43" spans="1:10" ht="18" customHeight="1" x14ac:dyDescent="0.35">
      <c r="A43" s="84" t="s">
        <v>74</v>
      </c>
      <c r="B43" s="85">
        <f>ROUND(SUM(B41:B42),0)</f>
        <v>0</v>
      </c>
      <c r="C43" s="85">
        <f>ROUND(SUM(C41:C42),0)</f>
        <v>0</v>
      </c>
      <c r="D43" s="85">
        <f>ROUND(SUM(D41:D42),0)</f>
        <v>0</v>
      </c>
      <c r="E43" s="85">
        <f>ROUND(SUM(E41:E42),0)</f>
        <v>0</v>
      </c>
      <c r="F43" s="85">
        <f>ROUND(SUM(F41:F42),0)</f>
        <v>0</v>
      </c>
      <c r="G43" s="85">
        <f t="shared" si="2"/>
        <v>0</v>
      </c>
    </row>
    <row r="44" spans="1:10" ht="18" customHeight="1" x14ac:dyDescent="0.35">
      <c r="A44" s="72"/>
      <c r="B44" s="78"/>
      <c r="C44" s="78"/>
      <c r="D44" s="78"/>
      <c r="E44" s="78"/>
      <c r="F44" s="78"/>
      <c r="G44" s="78"/>
    </row>
    <row r="45" spans="1:10" ht="18.600000000000001" customHeight="1" thickBot="1" x14ac:dyDescent="0.4">
      <c r="A45" s="88" t="s">
        <v>75</v>
      </c>
      <c r="B45" s="86">
        <f>ROUND(B40+B43,0)</f>
        <v>0</v>
      </c>
      <c r="C45" s="86">
        <f>ROUND(C40+C43,0)</f>
        <v>0</v>
      </c>
      <c r="D45" s="86">
        <f>ROUND(D40+D43,0)</f>
        <v>0</v>
      </c>
      <c r="E45" s="86">
        <f>ROUND(E40+E43,0)</f>
        <v>0</v>
      </c>
      <c r="F45" s="86">
        <f>ROUND(F40+F43,0)</f>
        <v>0</v>
      </c>
      <c r="G45" s="86">
        <f>ROUND(SUM(B45:F45),0)</f>
        <v>0</v>
      </c>
      <c r="H45" s="24"/>
    </row>
    <row r="46" spans="1:10" ht="18.600000000000001" customHeight="1" thickTop="1" x14ac:dyDescent="0.35">
      <c r="A46" s="204" t="str">
        <f>'Sponsor Cost'!A46</f>
        <v>MTDC</v>
      </c>
      <c r="B46" s="77">
        <f>ROUND(IF($A46="TDC",B45,B45-B29-B36-B37-B42),0)</f>
        <v>0</v>
      </c>
      <c r="C46" s="77">
        <f>ROUND(IF($A46="TDC",C45,C45-C29-C36-C37-C42),0)</f>
        <v>0</v>
      </c>
      <c r="D46" s="77">
        <f>ROUND(IF($A46="TDC",D45,D45-D29-D36-D37-D42),0)</f>
        <v>0</v>
      </c>
      <c r="E46" s="77">
        <f>ROUND(IF($A46="TDC",E45,E45-E29-E36-E37-E42),0)</f>
        <v>0</v>
      </c>
      <c r="F46" s="77">
        <f>ROUND(IF($A46="TDC",F45,F45-F29-F36-F37-F42),0)</f>
        <v>0</v>
      </c>
      <c r="G46" s="77">
        <f>ROUND(SUM(B46:F46),0)</f>
        <v>0</v>
      </c>
    </row>
    <row r="47" spans="1:10" ht="18" customHeight="1" x14ac:dyDescent="0.35">
      <c r="A47" s="172" t="s">
        <v>381</v>
      </c>
      <c r="B47" s="173">
        <f ca="1">ROUND(IF($F$59="Yes",B46*$G$59,$B$59*B$46),0)</f>
        <v>0</v>
      </c>
      <c r="C47" s="173">
        <f ca="1">ROUND(IF($F$59="Yes",C46*$G$59,$B$59*C$46),0)</f>
        <v>0</v>
      </c>
      <c r="D47" s="173">
        <f ca="1">ROUND(IF($F$59="Yes",D46*$G$59,$B$59*D$46),0)</f>
        <v>0</v>
      </c>
      <c r="E47" s="173">
        <f ca="1">ROUND(IF($F$59="Yes",E46*$G$59,$B$59*E$46),0)</f>
        <v>0</v>
      </c>
      <c r="F47" s="173">
        <f ca="1">ROUND(IF($F$59="Yes",F46*$G$59,$B$59*F$46),0)</f>
        <v>0</v>
      </c>
      <c r="G47" s="174">
        <f ca="1">ROUND(SUM(B47:F47),0)</f>
        <v>0</v>
      </c>
      <c r="H47" s="12"/>
    </row>
    <row r="48" spans="1:10" ht="18" customHeight="1" x14ac:dyDescent="0.35">
      <c r="A48" s="172"/>
      <c r="B48" s="173"/>
      <c r="C48" s="173"/>
      <c r="D48" s="173"/>
      <c r="E48" s="173"/>
      <c r="F48" s="173"/>
      <c r="G48" s="174"/>
      <c r="H48" s="12"/>
    </row>
    <row r="49" spans="1:9" ht="18.600000000000001" customHeight="1" thickBot="1" x14ac:dyDescent="0.4">
      <c r="A49" s="282" t="s">
        <v>78</v>
      </c>
      <c r="B49" s="279">
        <f t="shared" ref="B49:G49" ca="1" si="3">ROUND(B45+B47,0)</f>
        <v>0</v>
      </c>
      <c r="C49" s="279">
        <f t="shared" ca="1" si="3"/>
        <v>0</v>
      </c>
      <c r="D49" s="279">
        <f t="shared" ca="1" si="3"/>
        <v>0</v>
      </c>
      <c r="E49" s="279">
        <f t="shared" ca="1" si="3"/>
        <v>0</v>
      </c>
      <c r="F49" s="279">
        <f t="shared" ca="1" si="3"/>
        <v>0</v>
      </c>
      <c r="G49" s="279">
        <f t="shared" ca="1" si="3"/>
        <v>0</v>
      </c>
      <c r="H49" s="12"/>
    </row>
    <row r="50" spans="1:9" ht="18.600000000000001" customHeight="1" thickTop="1" x14ac:dyDescent="0.35">
      <c r="A50" s="175"/>
      <c r="B50" s="180"/>
      <c r="C50" s="180"/>
      <c r="D50" s="180"/>
      <c r="E50" s="180"/>
      <c r="F50" s="180"/>
      <c r="G50" s="180"/>
      <c r="H50" s="12"/>
    </row>
    <row r="51" spans="1:9" ht="18" customHeight="1" x14ac:dyDescent="0.35">
      <c r="A51" s="177" t="s">
        <v>382</v>
      </c>
      <c r="B51" s="171">
        <f>'Cost Share'!B49</f>
        <v>0</v>
      </c>
      <c r="C51" s="171">
        <f>'Cost Share'!C49</f>
        <v>0</v>
      </c>
      <c r="D51" s="171">
        <f>'Cost Share'!D49</f>
        <v>0</v>
      </c>
      <c r="E51" s="171">
        <f>'Cost Share'!E49</f>
        <v>0</v>
      </c>
      <c r="F51" s="171">
        <f>'Cost Share'!F49</f>
        <v>0</v>
      </c>
      <c r="G51" s="171">
        <f>'Cost Share'!G49</f>
        <v>0</v>
      </c>
      <c r="H51" s="25"/>
      <c r="I51" s="201"/>
    </row>
    <row r="52" spans="1:9" ht="18" customHeight="1" x14ac:dyDescent="0.35">
      <c r="A52" s="277" t="s">
        <v>383</v>
      </c>
      <c r="B52" s="261">
        <f>B37</f>
        <v>0</v>
      </c>
      <c r="C52" s="261">
        <f>C37</f>
        <v>0</v>
      </c>
      <c r="D52" s="261">
        <f>D37</f>
        <v>0</v>
      </c>
      <c r="E52" s="261">
        <f>E37</f>
        <v>0</v>
      </c>
      <c r="F52" s="261">
        <f>F37</f>
        <v>0</v>
      </c>
      <c r="G52" s="262">
        <f>ROUND(SUM(B52:F52),0)</f>
        <v>0</v>
      </c>
    </row>
    <row r="53" spans="1:9" ht="18" customHeight="1" x14ac:dyDescent="0.35">
      <c r="A53" s="89"/>
      <c r="B53" s="89"/>
      <c r="C53" s="89"/>
      <c r="D53" s="89"/>
      <c r="E53" s="89"/>
      <c r="F53" s="89"/>
      <c r="G53" s="70"/>
    </row>
    <row r="54" spans="1:9" ht="18" customHeight="1" x14ac:dyDescent="0.35">
      <c r="A54" s="280" t="s">
        <v>384</v>
      </c>
      <c r="B54" s="281">
        <f t="shared" ref="B54:G54" si="4">B52+B51</f>
        <v>0</v>
      </c>
      <c r="C54" s="281">
        <f t="shared" si="4"/>
        <v>0</v>
      </c>
      <c r="D54" s="281">
        <f t="shared" si="4"/>
        <v>0</v>
      </c>
      <c r="E54" s="281">
        <f t="shared" si="4"/>
        <v>0</v>
      </c>
      <c r="F54" s="281">
        <f t="shared" si="4"/>
        <v>0</v>
      </c>
      <c r="G54" s="281">
        <f t="shared" si="4"/>
        <v>0</v>
      </c>
      <c r="H54" s="25"/>
      <c r="I54" s="201"/>
    </row>
    <row r="55" spans="1:9" ht="18" customHeight="1" x14ac:dyDescent="0.35">
      <c r="A55" s="178"/>
      <c r="B55" s="276"/>
      <c r="C55" s="276"/>
      <c r="D55" s="276"/>
      <c r="E55" s="276"/>
      <c r="F55" s="276"/>
      <c r="G55" s="276"/>
      <c r="H55" s="25"/>
      <c r="I55" s="201"/>
    </row>
    <row r="56" spans="1:9" ht="18.600000000000001" customHeight="1" thickBot="1" x14ac:dyDescent="0.4">
      <c r="A56" s="278" t="s">
        <v>80</v>
      </c>
      <c r="B56" s="279">
        <f t="shared" ref="B56:G56" ca="1" si="5">B54+B49</f>
        <v>0</v>
      </c>
      <c r="C56" s="279">
        <f t="shared" ca="1" si="5"/>
        <v>0</v>
      </c>
      <c r="D56" s="279">
        <f t="shared" ca="1" si="5"/>
        <v>0</v>
      </c>
      <c r="E56" s="279">
        <f t="shared" ca="1" si="5"/>
        <v>0</v>
      </c>
      <c r="F56" s="279">
        <f t="shared" ca="1" si="5"/>
        <v>0</v>
      </c>
      <c r="G56" s="279">
        <f t="shared" ca="1" si="5"/>
        <v>0</v>
      </c>
      <c r="H56" s="25"/>
      <c r="I56" s="201"/>
    </row>
    <row r="57" spans="1:9" ht="18.600000000000001" customHeight="1" thickTop="1" x14ac:dyDescent="0.35">
      <c r="A57" s="178"/>
      <c r="B57" s="276"/>
      <c r="C57" s="276"/>
      <c r="D57" s="276"/>
      <c r="E57" s="276"/>
      <c r="F57" s="276"/>
      <c r="G57" s="276"/>
      <c r="H57" s="25"/>
      <c r="I57" s="201"/>
    </row>
    <row r="58" spans="1:9" ht="18" customHeight="1" x14ac:dyDescent="0.35">
      <c r="A58" s="178"/>
      <c r="B58" s="276"/>
      <c r="C58" s="276"/>
      <c r="D58" s="276"/>
      <c r="E58" s="276"/>
      <c r="F58" s="276"/>
      <c r="G58" s="276"/>
      <c r="H58" s="25"/>
      <c r="I58" s="201"/>
    </row>
    <row r="59" spans="1:9" ht="18" customHeight="1" x14ac:dyDescent="0.35">
      <c r="A59" s="109" t="s">
        <v>114</v>
      </c>
      <c r="B59" s="107">
        <f ca="1">'Sponsor Cost'!B54</f>
        <v>0.5</v>
      </c>
      <c r="C59" s="89"/>
      <c r="D59" s="56" t="s">
        <v>82</v>
      </c>
      <c r="E59" s="90"/>
      <c r="F59" s="91" t="str">
        <f>'Sponsor Cost'!F54</f>
        <v>No</v>
      </c>
      <c r="G59" s="274">
        <f>'Sponsor Cost'!G54</f>
        <v>0</v>
      </c>
    </row>
    <row r="60" spans="1:9" ht="18" customHeight="1" x14ac:dyDescent="0.35">
      <c r="A60" s="92" t="str">
        <f>'Sponsor Cost'!A55</f>
        <v>Organized Research - 7/1/23 - 6/30/25</v>
      </c>
      <c r="B60" s="93"/>
      <c r="C60" s="89"/>
      <c r="D60" s="89"/>
      <c r="E60" s="89"/>
      <c r="F60" s="94" t="str">
        <f>IF(F59="Yes","Waiver or Sponsor Policy Needed","")</f>
        <v/>
      </c>
      <c r="G60" s="93"/>
    </row>
    <row r="61" spans="1:9" ht="18" customHeight="1" x14ac:dyDescent="0.35">
      <c r="A61" s="92" t="str">
        <f>'Sponsor Cost'!A56</f>
        <v>On Campus</v>
      </c>
      <c r="B61" s="93"/>
      <c r="C61" s="89"/>
      <c r="D61" s="89"/>
      <c r="E61" s="89"/>
      <c r="F61" s="93"/>
      <c r="G61" s="115" t="s">
        <v>85</v>
      </c>
    </row>
    <row r="62" spans="1:9" ht="18" customHeight="1" x14ac:dyDescent="0.35">
      <c r="A62" s="95"/>
      <c r="B62" s="95"/>
      <c r="C62" s="95"/>
      <c r="D62" s="95"/>
      <c r="E62" s="95"/>
      <c r="F62" s="95"/>
      <c r="G62" s="135">
        <v>0</v>
      </c>
      <c r="H62" s="27"/>
    </row>
    <row r="63" spans="1:9" ht="18" customHeight="1" x14ac:dyDescent="0.35">
      <c r="A63" s="65" t="s">
        <v>115</v>
      </c>
      <c r="B63" s="71" t="s">
        <v>45</v>
      </c>
      <c r="C63" s="91" t="str">
        <f>'Sponsor Cost'!C58</f>
        <v>Yes</v>
      </c>
      <c r="D63" s="134">
        <f>'Sponsor Cost'!D58</f>
        <v>0.03</v>
      </c>
      <c r="E63" s="95"/>
      <c r="F63" s="95"/>
      <c r="G63" s="146">
        <f ca="1">G62-G49</f>
        <v>0</v>
      </c>
    </row>
    <row r="64" spans="1:9" ht="18" customHeight="1" x14ac:dyDescent="0.35">
      <c r="A64" s="65"/>
      <c r="B64" s="71" t="s">
        <v>87</v>
      </c>
      <c r="C64" s="91" t="str">
        <f>'Sponsor Cost'!C59</f>
        <v>Yes</v>
      </c>
      <c r="D64" s="237"/>
      <c r="E64" s="95"/>
      <c r="F64" s="95"/>
      <c r="G64" s="146"/>
    </row>
    <row r="65" spans="1:7" ht="18.600000000000001" customHeight="1" thickBot="1" x14ac:dyDescent="0.4">
      <c r="A65" s="95"/>
      <c r="B65" s="95"/>
      <c r="C65" s="95"/>
      <c r="D65" s="95"/>
      <c r="E65" s="95"/>
      <c r="F65" s="95"/>
      <c r="G65" s="147" t="e">
        <f ca="1">G63/G62</f>
        <v>#DIV/0!</v>
      </c>
    </row>
    <row r="66" spans="1:7" ht="35.4" customHeight="1" x14ac:dyDescent="0.35">
      <c r="A66" s="96"/>
      <c r="B66" s="97" t="s">
        <v>84</v>
      </c>
      <c r="C66" s="97" t="s">
        <v>88</v>
      </c>
      <c r="D66" s="97"/>
      <c r="E66" s="98"/>
      <c r="F66" s="93"/>
      <c r="G66" s="93"/>
    </row>
    <row r="67" spans="1:7" ht="18" customHeight="1" x14ac:dyDescent="0.35">
      <c r="A67" s="65" t="s">
        <v>116</v>
      </c>
      <c r="B67" s="103">
        <v>0.38500000000000001</v>
      </c>
      <c r="C67" s="103">
        <v>0.156</v>
      </c>
      <c r="D67" s="103">
        <v>0</v>
      </c>
      <c r="E67" s="100"/>
      <c r="F67" s="205"/>
      <c r="G67" s="93"/>
    </row>
    <row r="68" spans="1:7" ht="18" customHeight="1" x14ac:dyDescent="0.35">
      <c r="A68" s="65" t="s">
        <v>117</v>
      </c>
      <c r="B68" s="103">
        <v>0.4</v>
      </c>
      <c r="C68" s="103">
        <v>0.17</v>
      </c>
      <c r="D68" s="103">
        <v>0</v>
      </c>
      <c r="E68" s="100"/>
      <c r="F68" s="93"/>
      <c r="G68" s="93"/>
    </row>
    <row r="69" spans="1:7" ht="18" customHeight="1" x14ac:dyDescent="0.35">
      <c r="A69" s="99"/>
      <c r="B69" s="103">
        <v>0</v>
      </c>
      <c r="C69" s="103">
        <v>0</v>
      </c>
      <c r="D69" s="103">
        <v>0</v>
      </c>
      <c r="E69" s="100"/>
      <c r="F69" s="93"/>
      <c r="G69" s="93"/>
    </row>
    <row r="70" spans="1:7" ht="18" customHeight="1" x14ac:dyDescent="0.35">
      <c r="A70" s="99"/>
      <c r="B70" s="103">
        <v>0</v>
      </c>
      <c r="C70" s="103">
        <v>0</v>
      </c>
      <c r="D70" s="103">
        <v>0</v>
      </c>
      <c r="E70" s="100"/>
      <c r="F70" s="93"/>
      <c r="G70" s="93"/>
    </row>
    <row r="71" spans="1:7" ht="18.600000000000001" customHeight="1" thickBot="1" x14ac:dyDescent="0.4">
      <c r="A71" s="101"/>
      <c r="B71" s="104">
        <v>0</v>
      </c>
      <c r="C71" s="104">
        <v>0</v>
      </c>
      <c r="D71" s="104">
        <v>0</v>
      </c>
      <c r="E71" s="102"/>
      <c r="F71" s="93"/>
      <c r="G71" s="93"/>
    </row>
    <row r="73" spans="1:7" hidden="1" x14ac:dyDescent="0.3">
      <c r="A73" s="120" t="s">
        <v>95</v>
      </c>
      <c r="B73" s="42" t="s">
        <v>76</v>
      </c>
      <c r="C73" s="63"/>
    </row>
    <row r="74" spans="1:7" hidden="1" x14ac:dyDescent="0.3">
      <c r="A74" s="42"/>
      <c r="B74" s="42" t="s">
        <v>96</v>
      </c>
      <c r="C74" s="63"/>
    </row>
    <row r="75" spans="1:7" hidden="1" x14ac:dyDescent="0.3">
      <c r="A75" s="63"/>
      <c r="B75" s="63"/>
      <c r="C75" s="63"/>
    </row>
    <row r="76" spans="1:7" hidden="1" x14ac:dyDescent="0.3">
      <c r="A76" s="63"/>
      <c r="B76" s="42" t="s">
        <v>33</v>
      </c>
      <c r="C76" s="63"/>
    </row>
    <row r="77" spans="1:7" hidden="1" x14ac:dyDescent="0.3">
      <c r="A77" s="63"/>
      <c r="B77" s="42" t="s">
        <v>34</v>
      </c>
      <c r="C77" s="63"/>
    </row>
    <row r="78" spans="1:7" hidden="1" x14ac:dyDescent="0.3">
      <c r="A78" s="63"/>
      <c r="B78" s="63"/>
      <c r="C78" s="63"/>
    </row>
  </sheetData>
  <mergeCells count="1">
    <mergeCell ref="B1:G1"/>
  </mergeCells>
  <dataValidations disablePrompts="1" count="4">
    <dataValidation type="list" allowBlank="1" showInputMessage="1" showErrorMessage="1" sqref="C63:C64 F59" xr:uid="{00000000-0002-0000-1500-000000000000}">
      <formula1>$B$76:$B$77</formula1>
    </dataValidation>
    <dataValidation type="list" allowBlank="1" showInputMessage="1" showErrorMessage="1" sqref="A60" xr:uid="{00000000-0002-0000-1500-000001000000}">
      <formula1>$A$67:$A$71</formula1>
    </dataValidation>
    <dataValidation type="list" allowBlank="1" showInputMessage="1" showErrorMessage="1" sqref="A61" xr:uid="{00000000-0002-0000-1500-000002000000}">
      <formula1>$B$66:$D$66</formula1>
    </dataValidation>
    <dataValidation type="list" allowBlank="1" showInputMessage="1" showErrorMessage="1" sqref="A46" xr:uid="{00000000-0002-0000-1500-000003000000}">
      <formula1>$B$73:$B$74</formula1>
    </dataValidation>
  </dataValidations>
  <hyperlinks>
    <hyperlink ref="A59" r:id="rId1" xr:uid="{00000000-0004-0000-1500-000000000000}"/>
  </hyperlinks>
  <pageMargins left="0.7" right="0.7" top="0.75" bottom="0.75" header="0.3" footer="0.3"/>
  <pageSetup orientation="portrait" horizontalDpi="1200" verticalDpi="1200"/>
  <drawing r:id="rId2"/>
  <legacy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114"/>
  <sheetViews>
    <sheetView topLeftCell="A112" zoomScale="110" zoomScaleNormal="110" workbookViewId="0">
      <selection activeCell="A115" sqref="A115"/>
    </sheetView>
  </sheetViews>
  <sheetFormatPr defaultColWidth="8.6640625" defaultRowHeight="14.4" x14ac:dyDescent="0.3"/>
  <cols>
    <col min="1" max="1" width="9.6640625" bestFit="1" customWidth="1"/>
  </cols>
  <sheetData>
    <row r="1" spans="1:1" x14ac:dyDescent="0.3">
      <c r="A1" s="187">
        <v>43903</v>
      </c>
    </row>
    <row r="2" spans="1:1" x14ac:dyDescent="0.3">
      <c r="A2" s="257" t="s">
        <v>385</v>
      </c>
    </row>
    <row r="3" spans="1:1" x14ac:dyDescent="0.3">
      <c r="A3" s="257" t="s">
        <v>386</v>
      </c>
    </row>
    <row r="4" spans="1:1" x14ac:dyDescent="0.3">
      <c r="A4" s="257" t="s">
        <v>387</v>
      </c>
    </row>
    <row r="6" spans="1:1" x14ac:dyDescent="0.3">
      <c r="A6" s="187">
        <v>43922</v>
      </c>
    </row>
    <row r="7" spans="1:1" x14ac:dyDescent="0.3">
      <c r="A7" s="257" t="s">
        <v>388</v>
      </c>
    </row>
    <row r="8" spans="1:1" x14ac:dyDescent="0.3">
      <c r="A8" s="257" t="s">
        <v>389</v>
      </c>
    </row>
    <row r="9" spans="1:1" x14ac:dyDescent="0.3">
      <c r="A9" s="257" t="s">
        <v>390</v>
      </c>
    </row>
    <row r="10" spans="1:1" x14ac:dyDescent="0.3">
      <c r="A10" s="257" t="s">
        <v>391</v>
      </c>
    </row>
    <row r="11" spans="1:1" x14ac:dyDescent="0.3">
      <c r="A11" s="257" t="s">
        <v>392</v>
      </c>
    </row>
    <row r="13" spans="1:1" x14ac:dyDescent="0.3">
      <c r="A13" s="187">
        <v>43923</v>
      </c>
    </row>
    <row r="14" spans="1:1" x14ac:dyDescent="0.3">
      <c r="A14" s="257" t="s">
        <v>393</v>
      </c>
    </row>
    <row r="15" spans="1:1" x14ac:dyDescent="0.3">
      <c r="A15" s="257" t="s">
        <v>394</v>
      </c>
    </row>
    <row r="16" spans="1:1" x14ac:dyDescent="0.3">
      <c r="A16" s="257" t="s">
        <v>395</v>
      </c>
    </row>
    <row r="17" spans="1:1" x14ac:dyDescent="0.3">
      <c r="A17" s="2"/>
    </row>
    <row r="18" spans="1:1" x14ac:dyDescent="0.3">
      <c r="A18" s="187">
        <v>43928</v>
      </c>
    </row>
    <row r="19" spans="1:1" x14ac:dyDescent="0.3">
      <c r="A19" s="257" t="s">
        <v>396</v>
      </c>
    </row>
    <row r="20" spans="1:1" x14ac:dyDescent="0.3">
      <c r="A20" s="257" t="s">
        <v>397</v>
      </c>
    </row>
    <row r="21" spans="1:1" x14ac:dyDescent="0.3">
      <c r="A21" s="257" t="s">
        <v>398</v>
      </c>
    </row>
    <row r="23" spans="1:1" x14ac:dyDescent="0.3">
      <c r="A23" s="187">
        <v>43929</v>
      </c>
    </row>
    <row r="24" spans="1:1" x14ac:dyDescent="0.3">
      <c r="A24" s="257" t="s">
        <v>399</v>
      </c>
    </row>
    <row r="25" spans="1:1" x14ac:dyDescent="0.3">
      <c r="A25" s="257" t="s">
        <v>400</v>
      </c>
    </row>
    <row r="27" spans="1:1" x14ac:dyDescent="0.3">
      <c r="A27" s="240">
        <v>43965</v>
      </c>
    </row>
    <row r="28" spans="1:1" x14ac:dyDescent="0.3">
      <c r="A28" s="257" t="s">
        <v>401</v>
      </c>
    </row>
    <row r="29" spans="1:1" x14ac:dyDescent="0.3">
      <c r="A29" s="257" t="s">
        <v>402</v>
      </c>
    </row>
    <row r="30" spans="1:1" x14ac:dyDescent="0.3">
      <c r="A30" s="257" t="s">
        <v>403</v>
      </c>
    </row>
    <row r="31" spans="1:1" x14ac:dyDescent="0.3">
      <c r="A31" s="257" t="s">
        <v>404</v>
      </c>
    </row>
    <row r="32" spans="1:1" x14ac:dyDescent="0.3">
      <c r="A32" s="257" t="s">
        <v>405</v>
      </c>
    </row>
    <row r="33" spans="1:1" x14ac:dyDescent="0.3">
      <c r="A33" s="257" t="s">
        <v>406</v>
      </c>
    </row>
    <row r="34" spans="1:1" x14ac:dyDescent="0.3">
      <c r="A34" s="257" t="s">
        <v>407</v>
      </c>
    </row>
    <row r="35" spans="1:1" x14ac:dyDescent="0.3">
      <c r="A35" s="257" t="s">
        <v>408</v>
      </c>
    </row>
    <row r="36" spans="1:1" x14ac:dyDescent="0.3">
      <c r="A36" s="257" t="s">
        <v>409</v>
      </c>
    </row>
    <row r="37" spans="1:1" x14ac:dyDescent="0.3">
      <c r="A37" s="257" t="s">
        <v>410</v>
      </c>
    </row>
    <row r="38" spans="1:1" x14ac:dyDescent="0.3">
      <c r="A38" s="257" t="s">
        <v>411</v>
      </c>
    </row>
    <row r="39" spans="1:1" x14ac:dyDescent="0.3">
      <c r="A39" s="257" t="s">
        <v>412</v>
      </c>
    </row>
    <row r="40" spans="1:1" x14ac:dyDescent="0.3">
      <c r="A40" s="257" t="s">
        <v>413</v>
      </c>
    </row>
    <row r="41" spans="1:1" x14ac:dyDescent="0.3">
      <c r="A41" s="257" t="s">
        <v>414</v>
      </c>
    </row>
    <row r="42" spans="1:1" x14ac:dyDescent="0.3">
      <c r="A42" s="257" t="s">
        <v>415</v>
      </c>
    </row>
    <row r="44" spans="1:1" x14ac:dyDescent="0.3">
      <c r="A44" s="240" t="s">
        <v>416</v>
      </c>
    </row>
    <row r="45" spans="1:1" x14ac:dyDescent="0.3">
      <c r="A45" s="257" t="s">
        <v>417</v>
      </c>
    </row>
    <row r="46" spans="1:1" x14ac:dyDescent="0.3">
      <c r="A46" s="257" t="s">
        <v>418</v>
      </c>
    </row>
    <row r="47" spans="1:1" x14ac:dyDescent="0.3">
      <c r="A47" s="257" t="s">
        <v>419</v>
      </c>
    </row>
    <row r="48" spans="1:1" x14ac:dyDescent="0.3">
      <c r="A48" s="257" t="s">
        <v>420</v>
      </c>
    </row>
    <row r="49" spans="1:1" x14ac:dyDescent="0.3">
      <c r="A49" s="257" t="s">
        <v>421</v>
      </c>
    </row>
    <row r="50" spans="1:1" x14ac:dyDescent="0.3">
      <c r="A50" s="257" t="s">
        <v>422</v>
      </c>
    </row>
    <row r="51" spans="1:1" x14ac:dyDescent="0.3">
      <c r="A51" s="257" t="s">
        <v>423</v>
      </c>
    </row>
    <row r="52" spans="1:1" x14ac:dyDescent="0.3">
      <c r="A52" s="257" t="s">
        <v>424</v>
      </c>
    </row>
    <row r="53" spans="1:1" x14ac:dyDescent="0.3">
      <c r="A53" s="257" t="s">
        <v>425</v>
      </c>
    </row>
    <row r="54" spans="1:1" x14ac:dyDescent="0.3">
      <c r="A54" s="257" t="s">
        <v>426</v>
      </c>
    </row>
    <row r="55" spans="1:1" x14ac:dyDescent="0.3">
      <c r="A55" s="257" t="s">
        <v>427</v>
      </c>
    </row>
    <row r="57" spans="1:1" x14ac:dyDescent="0.3">
      <c r="A57" s="2" t="s">
        <v>428</v>
      </c>
    </row>
    <row r="58" spans="1:1" x14ac:dyDescent="0.3">
      <c r="A58" s="257" t="s">
        <v>429</v>
      </c>
    </row>
    <row r="59" spans="1:1" x14ac:dyDescent="0.3">
      <c r="A59" s="257" t="s">
        <v>430</v>
      </c>
    </row>
    <row r="60" spans="1:1" x14ac:dyDescent="0.3">
      <c r="A60" s="257" t="s">
        <v>431</v>
      </c>
    </row>
    <row r="61" spans="1:1" x14ac:dyDescent="0.3">
      <c r="A61" s="257" t="s">
        <v>432</v>
      </c>
    </row>
    <row r="62" spans="1:1" x14ac:dyDescent="0.3">
      <c r="A62" s="257" t="s">
        <v>433</v>
      </c>
    </row>
    <row r="63" spans="1:1" x14ac:dyDescent="0.3">
      <c r="A63" s="257" t="s">
        <v>434</v>
      </c>
    </row>
    <row r="64" spans="1:1" x14ac:dyDescent="0.3">
      <c r="A64" s="257" t="s">
        <v>435</v>
      </c>
    </row>
    <row r="66" spans="1:1" x14ac:dyDescent="0.3">
      <c r="A66" s="2" t="s">
        <v>436</v>
      </c>
    </row>
    <row r="67" spans="1:1" x14ac:dyDescent="0.3">
      <c r="A67" s="257" t="s">
        <v>437</v>
      </c>
    </row>
    <row r="68" spans="1:1" x14ac:dyDescent="0.3">
      <c r="A68" s="257" t="s">
        <v>438</v>
      </c>
    </row>
    <row r="69" spans="1:1" x14ac:dyDescent="0.3">
      <c r="A69" s="257" t="s">
        <v>439</v>
      </c>
    </row>
    <row r="70" spans="1:1" x14ac:dyDescent="0.3">
      <c r="A70" s="257" t="s">
        <v>440</v>
      </c>
    </row>
    <row r="71" spans="1:1" x14ac:dyDescent="0.3">
      <c r="A71" s="257" t="s">
        <v>441</v>
      </c>
    </row>
    <row r="72" spans="1:1" x14ac:dyDescent="0.3">
      <c r="A72" s="257" t="s">
        <v>442</v>
      </c>
    </row>
    <row r="73" spans="1:1" x14ac:dyDescent="0.3">
      <c r="A73" s="257" t="s">
        <v>443</v>
      </c>
    </row>
    <row r="74" spans="1:1" x14ac:dyDescent="0.3">
      <c r="A74" s="257" t="s">
        <v>444</v>
      </c>
    </row>
    <row r="75" spans="1:1" x14ac:dyDescent="0.3">
      <c r="A75" s="257" t="s">
        <v>445</v>
      </c>
    </row>
    <row r="76" spans="1:1" x14ac:dyDescent="0.3">
      <c r="A76" s="257" t="s">
        <v>446</v>
      </c>
    </row>
    <row r="77" spans="1:1" x14ac:dyDescent="0.3">
      <c r="A77" s="257" t="s">
        <v>447</v>
      </c>
    </row>
    <row r="78" spans="1:1" x14ac:dyDescent="0.3">
      <c r="A78" s="257" t="s">
        <v>448</v>
      </c>
    </row>
    <row r="80" spans="1:1" x14ac:dyDescent="0.3">
      <c r="A80" s="2" t="s">
        <v>449</v>
      </c>
    </row>
    <row r="81" spans="1:1" x14ac:dyDescent="0.3">
      <c r="A81" s="257" t="s">
        <v>450</v>
      </c>
    </row>
    <row r="82" spans="1:1" x14ac:dyDescent="0.3">
      <c r="A82" s="285" t="s">
        <v>451</v>
      </c>
    </row>
    <row r="83" spans="1:1" x14ac:dyDescent="0.3">
      <c r="A83" s="285" t="s">
        <v>452</v>
      </c>
    </row>
    <row r="84" spans="1:1" x14ac:dyDescent="0.3">
      <c r="A84" s="285" t="s">
        <v>453</v>
      </c>
    </row>
    <row r="85" spans="1:1" x14ac:dyDescent="0.3">
      <c r="A85" s="285" t="s">
        <v>454</v>
      </c>
    </row>
    <row r="86" spans="1:1" x14ac:dyDescent="0.3">
      <c r="A86" s="285" t="s">
        <v>455</v>
      </c>
    </row>
    <row r="87" spans="1:1" x14ac:dyDescent="0.3">
      <c r="A87" s="285" t="s">
        <v>456</v>
      </c>
    </row>
    <row r="89" spans="1:1" x14ac:dyDescent="0.3">
      <c r="A89" s="289" t="s">
        <v>457</v>
      </c>
    </row>
    <row r="90" spans="1:1" x14ac:dyDescent="0.3">
      <c r="A90" s="257" t="s">
        <v>458</v>
      </c>
    </row>
    <row r="91" spans="1:1" x14ac:dyDescent="0.3">
      <c r="A91" s="257" t="s">
        <v>459</v>
      </c>
    </row>
    <row r="92" spans="1:1" x14ac:dyDescent="0.3">
      <c r="A92" s="257" t="s">
        <v>460</v>
      </c>
    </row>
    <row r="93" spans="1:1" x14ac:dyDescent="0.3">
      <c r="A93" s="257" t="s">
        <v>461</v>
      </c>
    </row>
    <row r="94" spans="1:1" x14ac:dyDescent="0.3">
      <c r="A94" s="257" t="s">
        <v>462</v>
      </c>
    </row>
    <row r="96" spans="1:1" x14ac:dyDescent="0.3">
      <c r="A96" s="289" t="s">
        <v>463</v>
      </c>
    </row>
    <row r="97" spans="1:1" x14ac:dyDescent="0.3">
      <c r="A97" s="257" t="s">
        <v>464</v>
      </c>
    </row>
    <row r="98" spans="1:1" x14ac:dyDescent="0.3">
      <c r="A98" s="257" t="s">
        <v>465</v>
      </c>
    </row>
    <row r="99" spans="1:1" x14ac:dyDescent="0.3">
      <c r="A99" s="257" t="s">
        <v>466</v>
      </c>
    </row>
    <row r="100" spans="1:1" x14ac:dyDescent="0.3">
      <c r="A100" s="257" t="s">
        <v>467</v>
      </c>
    </row>
    <row r="101" spans="1:1" x14ac:dyDescent="0.3">
      <c r="A101" s="257" t="s">
        <v>468</v>
      </c>
    </row>
    <row r="102" spans="1:1" x14ac:dyDescent="0.3">
      <c r="A102" s="257" t="s">
        <v>469</v>
      </c>
    </row>
    <row r="103" spans="1:1" x14ac:dyDescent="0.3">
      <c r="A103" s="257" t="s">
        <v>470</v>
      </c>
    </row>
    <row r="104" spans="1:1" x14ac:dyDescent="0.3">
      <c r="A104" s="257" t="s">
        <v>471</v>
      </c>
    </row>
    <row r="105" spans="1:1" x14ac:dyDescent="0.3">
      <c r="A105" s="257" t="s">
        <v>472</v>
      </c>
    </row>
    <row r="106" spans="1:1" x14ac:dyDescent="0.3">
      <c r="A106" s="257" t="s">
        <v>473</v>
      </c>
    </row>
    <row r="108" spans="1:1" x14ac:dyDescent="0.3">
      <c r="A108" s="308" t="s">
        <v>474</v>
      </c>
    </row>
    <row r="109" spans="1:1" x14ac:dyDescent="0.3">
      <c r="A109" s="257" t="s">
        <v>475</v>
      </c>
    </row>
    <row r="110" spans="1:1" x14ac:dyDescent="0.3">
      <c r="A110" s="257" t="s">
        <v>476</v>
      </c>
    </row>
    <row r="111" spans="1:1" x14ac:dyDescent="0.3">
      <c r="A111" s="257" t="s">
        <v>477</v>
      </c>
    </row>
    <row r="112" spans="1:1" x14ac:dyDescent="0.3">
      <c r="A112" s="257" t="s">
        <v>478</v>
      </c>
    </row>
    <row r="113" spans="1:1" x14ac:dyDescent="0.3">
      <c r="A113" s="257" t="s">
        <v>479</v>
      </c>
    </row>
    <row r="114" spans="1:1" x14ac:dyDescent="0.3">
      <c r="A114" s="257" t="s">
        <v>480</v>
      </c>
    </row>
  </sheetData>
  <pageMargins left="0.7" right="0.7" top="0.75" bottom="0.75" header="0.3" footer="0.3"/>
  <pageSetup orientation="portrait" horizontalDpi="1200" verticalDpi="12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7</vt:i4>
      </vt:variant>
    </vt:vector>
  </HeadingPairs>
  <TitlesOfParts>
    <vt:vector size="30" baseType="lpstr">
      <vt:lpstr>Sponsor Cost</vt:lpstr>
      <vt:lpstr>Cost Share</vt:lpstr>
      <vt:lpstr>Personnel</vt:lpstr>
      <vt:lpstr>IBS Calculator</vt:lpstr>
      <vt:lpstr>Labor Detail</vt:lpstr>
      <vt:lpstr>FTE Table</vt:lpstr>
      <vt:lpstr>Equipment</vt:lpstr>
      <vt:lpstr>Travel</vt:lpstr>
      <vt:lpstr>Honorarium</vt:lpstr>
      <vt:lpstr>Materials</vt:lpstr>
      <vt:lpstr>Services_Consulting</vt:lpstr>
      <vt:lpstr>Participant Costs</vt:lpstr>
      <vt:lpstr>Tuition</vt:lpstr>
      <vt:lpstr>Other DC</vt:lpstr>
      <vt:lpstr>Subcontracts</vt:lpstr>
      <vt:lpstr>Budget Allocation</vt:lpstr>
      <vt:lpstr>Project Plan</vt:lpstr>
      <vt:lpstr>Rate Table</vt:lpstr>
      <vt:lpstr>Modular Budget</vt:lpstr>
      <vt:lpstr>RWJF</vt:lpstr>
      <vt:lpstr>SF 424</vt:lpstr>
      <vt:lpstr>Award Setup</vt:lpstr>
      <vt:lpstr>Notes</vt:lpstr>
      <vt:lpstr>Non_Student</vt:lpstr>
      <vt:lpstr>Non_Student_Labor</vt:lpstr>
      <vt:lpstr>Post_Doc</vt:lpstr>
      <vt:lpstr>Post_Doc_Labor</vt:lpstr>
      <vt:lpstr>Salary_Cap</vt:lpstr>
      <vt:lpstr>Sub1_DC</vt:lpstr>
      <vt:lpstr>Sub1_TC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Sites, John</dc:creator>
  <cp:lastModifiedBy>Patel, Priyal</cp:lastModifiedBy>
  <dcterms:created xsi:type="dcterms:W3CDTF">2016-05-09T17:31:24Z</dcterms:created>
  <dcterms:modified xsi:type="dcterms:W3CDTF">2026-09-22T11:28:57Z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0x010100539A521FD3184448ACB2AD32A4B2D287</vt:lpwstr>
  </property>
  <property fmtid="{D5CDD505-2E9C-101B-9397-08002B2CF9AE}" pid="3" name="SS Version">
    <vt:lpwstr>24.1</vt:lpwstr>
  </property>
</Properties>
</file>